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840" windowWidth="19575" windowHeight="7080"/>
  </bookViews>
  <sheets>
    <sheet name="2014" sheetId="1" r:id="rId1"/>
    <sheet name="2015" sheetId="2" r:id="rId2"/>
    <sheet name="2016-JEIV" sheetId="3" r:id="rId3"/>
    <sheet name="2017-JEIV" sheetId="4" r:id="rId4"/>
    <sheet name="TO DO LIST" sheetId="5" r:id="rId5"/>
    <sheet name="2018" sheetId="6" r:id="rId6"/>
    <sheet name="2019" sheetId="7" r:id="rId7"/>
  </sheets>
  <calcPr calcId="144525"/>
  <extLst>
    <ext uri="GoogleSheetsCustomDataVersion1">
      <go:sheetsCustomData xmlns:go="http://customooxmlschemas.google.com/" r:id="" roundtripDataSignature="AMtx7mguljH/KhKaAFTe6jymGWDMuW4png=="/>
    </ext>
  </extLst>
</workbook>
</file>

<file path=xl/calcChain.xml><?xml version="1.0" encoding="utf-8"?>
<calcChain xmlns="http://schemas.openxmlformats.org/spreadsheetml/2006/main">
  <c r="V7" i="2" l="1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6" i="2"/>
  <c r="P6" i="3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6" i="2"/>
  <c r="O6" i="3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6" i="2"/>
  <c r="N6" i="3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6" i="2"/>
  <c r="J6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6" i="2"/>
  <c r="F6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T8" i="1"/>
  <c r="T19" i="1"/>
  <c r="T25" i="1"/>
  <c r="T28" i="1"/>
  <c r="T32" i="1"/>
  <c r="T73" i="1"/>
  <c r="T78" i="1"/>
  <c r="T114" i="1"/>
  <c r="T139" i="1"/>
  <c r="T149" i="1"/>
  <c r="T155" i="1"/>
  <c r="N11" i="1"/>
  <c r="N13" i="1"/>
  <c r="N14" i="1"/>
  <c r="N16" i="1"/>
  <c r="N18" i="1"/>
  <c r="N21" i="1"/>
  <c r="N29" i="1"/>
  <c r="N31" i="1"/>
  <c r="N35" i="1"/>
  <c r="N36" i="1"/>
  <c r="N38" i="1"/>
  <c r="N39" i="1"/>
  <c r="N43" i="1"/>
  <c r="N45" i="1"/>
  <c r="N47" i="1"/>
  <c r="N48" i="1"/>
  <c r="N49" i="1"/>
  <c r="N54" i="1"/>
  <c r="N55" i="1"/>
  <c r="N56" i="1"/>
  <c r="N60" i="1"/>
  <c r="N61" i="1"/>
  <c r="N62" i="1"/>
  <c r="N63" i="1"/>
  <c r="N64" i="1"/>
  <c r="N67" i="1"/>
  <c r="N69" i="1"/>
  <c r="N70" i="1"/>
  <c r="N73" i="1"/>
  <c r="N74" i="1"/>
  <c r="N75" i="1"/>
  <c r="N76" i="1"/>
  <c r="N77" i="1"/>
  <c r="N78" i="1"/>
  <c r="N79" i="1"/>
  <c r="N86" i="1"/>
  <c r="N88" i="1"/>
  <c r="N89" i="1"/>
  <c r="N91" i="1"/>
  <c r="N94" i="1"/>
  <c r="N95" i="1"/>
  <c r="N96" i="1"/>
  <c r="N97" i="1"/>
  <c r="N99" i="1"/>
  <c r="N101" i="1"/>
  <c r="N102" i="1"/>
  <c r="N104" i="1"/>
  <c r="N105" i="1"/>
  <c r="N106" i="1"/>
  <c r="N108" i="1"/>
  <c r="N109" i="1"/>
  <c r="N111" i="1"/>
  <c r="N113" i="1"/>
  <c r="N114" i="1"/>
  <c r="N118" i="1"/>
  <c r="N119" i="1"/>
  <c r="N120" i="1"/>
  <c r="N121" i="1"/>
  <c r="N122" i="1"/>
  <c r="N123" i="1"/>
  <c r="N134" i="1"/>
  <c r="N136" i="1"/>
  <c r="N138" i="1"/>
  <c r="N140" i="1"/>
  <c r="N142" i="1"/>
  <c r="N143" i="1"/>
  <c r="N151" i="1"/>
  <c r="N154" i="1"/>
  <c r="N157" i="1"/>
  <c r="N159" i="1"/>
  <c r="N160" i="1"/>
  <c r="K7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6" i="1"/>
  <c r="K27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4" i="1"/>
  <c r="K75" i="1"/>
  <c r="K76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40" i="1"/>
  <c r="K141" i="1"/>
  <c r="K142" i="1"/>
  <c r="K143" i="1"/>
  <c r="K144" i="1"/>
  <c r="K145" i="1"/>
  <c r="K146" i="1"/>
  <c r="K147" i="1"/>
  <c r="K148" i="1"/>
  <c r="K150" i="1"/>
  <c r="K151" i="1"/>
  <c r="K152" i="1"/>
  <c r="K153" i="1"/>
  <c r="K154" i="1"/>
  <c r="K156" i="1"/>
  <c r="K157" i="1"/>
  <c r="K158" i="1"/>
  <c r="K159" i="1"/>
  <c r="K160" i="1"/>
  <c r="K161" i="1"/>
  <c r="K162" i="1"/>
  <c r="K6" i="1"/>
  <c r="L162" i="2"/>
  <c r="L161" i="2"/>
  <c r="L160" i="2"/>
  <c r="L158" i="2"/>
  <c r="L156" i="2"/>
  <c r="T155" i="2"/>
  <c r="L155" i="2"/>
  <c r="L153" i="2"/>
  <c r="L152" i="2"/>
  <c r="L150" i="2"/>
  <c r="T149" i="2"/>
  <c r="L149" i="2"/>
  <c r="L148" i="2"/>
  <c r="L147" i="2"/>
  <c r="L146" i="2"/>
  <c r="L145" i="2"/>
  <c r="L144" i="2"/>
  <c r="L141" i="2"/>
  <c r="U139" i="2"/>
  <c r="T139" i="2"/>
  <c r="L139" i="2"/>
  <c r="L137" i="2"/>
  <c r="L135" i="2"/>
  <c r="L133" i="2"/>
  <c r="L132" i="2"/>
  <c r="L131" i="2"/>
  <c r="L130" i="2"/>
  <c r="L129" i="2"/>
  <c r="L128" i="2"/>
  <c r="L127" i="2"/>
  <c r="L126" i="2"/>
  <c r="L125" i="2"/>
  <c r="L124" i="2"/>
  <c r="L117" i="2"/>
  <c r="L116" i="2"/>
  <c r="L115" i="2"/>
  <c r="T114" i="2"/>
  <c r="L113" i="2"/>
  <c r="L112" i="2"/>
  <c r="L110" i="2"/>
  <c r="L107" i="2"/>
  <c r="L103" i="2"/>
  <c r="L98" i="2"/>
  <c r="L93" i="2"/>
  <c r="L92" i="2"/>
  <c r="L90" i="2"/>
  <c r="L85" i="2"/>
  <c r="L84" i="2"/>
  <c r="L83" i="2"/>
  <c r="L82" i="2"/>
  <c r="L81" i="2"/>
  <c r="L80" i="2"/>
  <c r="T78" i="2"/>
  <c r="T73" i="2"/>
  <c r="L72" i="2"/>
  <c r="L71" i="2"/>
  <c r="L68" i="2"/>
  <c r="L66" i="2"/>
  <c r="L65" i="2"/>
  <c r="L60" i="2"/>
  <c r="L59" i="2"/>
  <c r="L58" i="2"/>
  <c r="L57" i="2"/>
  <c r="L55" i="2"/>
  <c r="L53" i="2"/>
  <c r="L52" i="2"/>
  <c r="L51" i="2"/>
  <c r="L50" i="2"/>
  <c r="L46" i="2"/>
  <c r="L44" i="2"/>
  <c r="L42" i="2"/>
  <c r="L41" i="2"/>
  <c r="L40" i="2"/>
  <c r="L34" i="2"/>
  <c r="L33" i="2"/>
  <c r="T32" i="2"/>
  <c r="L32" i="2"/>
  <c r="L30" i="2"/>
  <c r="T28" i="2"/>
  <c r="L28" i="2"/>
  <c r="L27" i="2"/>
  <c r="L26" i="2"/>
  <c r="U25" i="2"/>
  <c r="T25" i="2"/>
  <c r="L25" i="2"/>
  <c r="L24" i="2"/>
  <c r="L23" i="2"/>
  <c r="L22" i="2"/>
  <c r="L20" i="2"/>
  <c r="T19" i="2"/>
  <c r="L17" i="2"/>
  <c r="L15" i="2"/>
  <c r="L12" i="2"/>
  <c r="L10" i="2"/>
  <c r="L9" i="2"/>
  <c r="T8" i="2"/>
  <c r="L8" i="2"/>
  <c r="L7" i="2"/>
  <c r="S6" i="2"/>
  <c r="L6" i="2"/>
  <c r="V4" i="2"/>
  <c r="S4" i="2"/>
  <c r="F4" i="2"/>
  <c r="S162" i="1"/>
  <c r="L162" i="1"/>
  <c r="N162" i="1" s="1"/>
  <c r="J162" i="1"/>
  <c r="O162" i="1" s="1"/>
  <c r="F162" i="1"/>
  <c r="S161" i="1"/>
  <c r="L161" i="1"/>
  <c r="N161" i="1" s="1"/>
  <c r="J161" i="1"/>
  <c r="O161" i="1" s="1"/>
  <c r="F161" i="1"/>
  <c r="S160" i="1"/>
  <c r="J160" i="1"/>
  <c r="O160" i="1" s="1"/>
  <c r="F160" i="1"/>
  <c r="S159" i="1"/>
  <c r="J159" i="1"/>
  <c r="O159" i="1" s="1"/>
  <c r="F159" i="1"/>
  <c r="S158" i="1"/>
  <c r="L158" i="1"/>
  <c r="N158" i="1" s="1"/>
  <c r="J158" i="1"/>
  <c r="O158" i="1" s="1"/>
  <c r="F158" i="1"/>
  <c r="S157" i="1"/>
  <c r="J157" i="1"/>
  <c r="O157" i="1" s="1"/>
  <c r="F157" i="1"/>
  <c r="S156" i="1"/>
  <c r="L156" i="1"/>
  <c r="N156" i="1" s="1"/>
  <c r="J156" i="1"/>
  <c r="O156" i="1" s="1"/>
  <c r="F156" i="1"/>
  <c r="S155" i="1"/>
  <c r="L155" i="1"/>
  <c r="N155" i="1" s="1"/>
  <c r="J155" i="1"/>
  <c r="O155" i="1" s="1"/>
  <c r="F155" i="1"/>
  <c r="S154" i="1"/>
  <c r="J154" i="1"/>
  <c r="O154" i="1" s="1"/>
  <c r="F154" i="1"/>
  <c r="S153" i="1"/>
  <c r="L153" i="1"/>
  <c r="N153" i="1" s="1"/>
  <c r="J153" i="1"/>
  <c r="O153" i="1" s="1"/>
  <c r="F153" i="1"/>
  <c r="S152" i="1"/>
  <c r="L152" i="1"/>
  <c r="N152" i="1" s="1"/>
  <c r="J152" i="1"/>
  <c r="O152" i="1" s="1"/>
  <c r="F152" i="1"/>
  <c r="S151" i="1"/>
  <c r="J151" i="1"/>
  <c r="O151" i="1" s="1"/>
  <c r="F151" i="1"/>
  <c r="S150" i="1"/>
  <c r="L150" i="1"/>
  <c r="N150" i="1" s="1"/>
  <c r="J150" i="1"/>
  <c r="O150" i="1" s="1"/>
  <c r="F150" i="1"/>
  <c r="U149" i="1"/>
  <c r="S149" i="1"/>
  <c r="L149" i="1"/>
  <c r="N149" i="1" s="1"/>
  <c r="J149" i="1"/>
  <c r="O149" i="1" s="1"/>
  <c r="F149" i="1"/>
  <c r="S148" i="1"/>
  <c r="L148" i="1"/>
  <c r="N148" i="1" s="1"/>
  <c r="J148" i="1"/>
  <c r="O148" i="1" s="1"/>
  <c r="F148" i="1"/>
  <c r="S147" i="1"/>
  <c r="L147" i="1"/>
  <c r="N147" i="1" s="1"/>
  <c r="J147" i="1"/>
  <c r="O147" i="1" s="1"/>
  <c r="F147" i="1"/>
  <c r="S146" i="1"/>
  <c r="L146" i="1"/>
  <c r="N146" i="1" s="1"/>
  <c r="J146" i="1"/>
  <c r="O146" i="1" s="1"/>
  <c r="F146" i="1"/>
  <c r="S145" i="1"/>
  <c r="L145" i="1"/>
  <c r="N145" i="1" s="1"/>
  <c r="J145" i="1"/>
  <c r="O145" i="1" s="1"/>
  <c r="F145" i="1"/>
  <c r="S144" i="1"/>
  <c r="L144" i="1"/>
  <c r="N144" i="1" s="1"/>
  <c r="J144" i="1"/>
  <c r="O144" i="1" s="1"/>
  <c r="F144" i="1"/>
  <c r="S143" i="1"/>
  <c r="J143" i="1"/>
  <c r="O143" i="1" s="1"/>
  <c r="F143" i="1"/>
  <c r="S142" i="1"/>
  <c r="J142" i="1"/>
  <c r="O142" i="1" s="1"/>
  <c r="F142" i="1"/>
  <c r="S141" i="1"/>
  <c r="L141" i="1"/>
  <c r="N141" i="1" s="1"/>
  <c r="J141" i="1"/>
  <c r="O141" i="1" s="1"/>
  <c r="F141" i="1"/>
  <c r="S140" i="1"/>
  <c r="J140" i="1"/>
  <c r="O140" i="1" s="1"/>
  <c r="F140" i="1"/>
  <c r="U139" i="1"/>
  <c r="S139" i="1"/>
  <c r="L139" i="1"/>
  <c r="N139" i="1" s="1"/>
  <c r="J139" i="1"/>
  <c r="O139" i="1" s="1"/>
  <c r="F139" i="1"/>
  <c r="S138" i="1"/>
  <c r="J138" i="1"/>
  <c r="O138" i="1" s="1"/>
  <c r="F138" i="1"/>
  <c r="S137" i="1"/>
  <c r="L137" i="1"/>
  <c r="N137" i="1" s="1"/>
  <c r="J137" i="1"/>
  <c r="O137" i="1" s="1"/>
  <c r="F137" i="1"/>
  <c r="S136" i="1"/>
  <c r="J136" i="1"/>
  <c r="O136" i="1" s="1"/>
  <c r="F136" i="1"/>
  <c r="S135" i="1"/>
  <c r="L135" i="1"/>
  <c r="N135" i="1" s="1"/>
  <c r="J135" i="1"/>
  <c r="O135" i="1" s="1"/>
  <c r="F135" i="1"/>
  <c r="S134" i="1"/>
  <c r="J134" i="1"/>
  <c r="O134" i="1" s="1"/>
  <c r="F134" i="1"/>
  <c r="S133" i="1"/>
  <c r="L133" i="1"/>
  <c r="N133" i="1" s="1"/>
  <c r="J133" i="1"/>
  <c r="O133" i="1" s="1"/>
  <c r="F133" i="1"/>
  <c r="S132" i="1"/>
  <c r="L132" i="1"/>
  <c r="N132" i="1" s="1"/>
  <c r="J132" i="1"/>
  <c r="O132" i="1" s="1"/>
  <c r="F132" i="1"/>
  <c r="S131" i="1"/>
  <c r="L131" i="1"/>
  <c r="N131" i="1" s="1"/>
  <c r="J131" i="1"/>
  <c r="O131" i="1" s="1"/>
  <c r="F131" i="1"/>
  <c r="S130" i="1"/>
  <c r="L130" i="1"/>
  <c r="N130" i="1" s="1"/>
  <c r="J130" i="1"/>
  <c r="O130" i="1" s="1"/>
  <c r="F130" i="1"/>
  <c r="S129" i="1"/>
  <c r="L129" i="1"/>
  <c r="N129" i="1" s="1"/>
  <c r="J129" i="1"/>
  <c r="O129" i="1" s="1"/>
  <c r="F129" i="1"/>
  <c r="S128" i="1"/>
  <c r="L128" i="1"/>
  <c r="N128" i="1" s="1"/>
  <c r="J128" i="1"/>
  <c r="O128" i="1" s="1"/>
  <c r="F128" i="1"/>
  <c r="S127" i="1"/>
  <c r="L127" i="1"/>
  <c r="N127" i="1" s="1"/>
  <c r="J127" i="1"/>
  <c r="O127" i="1" s="1"/>
  <c r="F127" i="1"/>
  <c r="S126" i="1"/>
  <c r="L126" i="1"/>
  <c r="N126" i="1" s="1"/>
  <c r="J126" i="1"/>
  <c r="O126" i="1" s="1"/>
  <c r="F126" i="1"/>
  <c r="S125" i="1"/>
  <c r="L125" i="1"/>
  <c r="N125" i="1" s="1"/>
  <c r="J125" i="1"/>
  <c r="O125" i="1" s="1"/>
  <c r="F125" i="1"/>
  <c r="S124" i="1"/>
  <c r="L124" i="1"/>
  <c r="N124" i="1" s="1"/>
  <c r="J124" i="1"/>
  <c r="O124" i="1" s="1"/>
  <c r="F124" i="1"/>
  <c r="S123" i="1"/>
  <c r="J123" i="1"/>
  <c r="O123" i="1" s="1"/>
  <c r="F123" i="1"/>
  <c r="S122" i="1"/>
  <c r="J122" i="1"/>
  <c r="O122" i="1" s="1"/>
  <c r="F122" i="1"/>
  <c r="S121" i="1"/>
  <c r="J121" i="1"/>
  <c r="O121" i="1" s="1"/>
  <c r="F121" i="1"/>
  <c r="S120" i="1"/>
  <c r="J120" i="1"/>
  <c r="O120" i="1" s="1"/>
  <c r="F120" i="1"/>
  <c r="S119" i="1"/>
  <c r="J119" i="1"/>
  <c r="O119" i="1" s="1"/>
  <c r="F119" i="1"/>
  <c r="S118" i="1"/>
  <c r="J118" i="1"/>
  <c r="O118" i="1" s="1"/>
  <c r="F118" i="1"/>
  <c r="S117" i="1"/>
  <c r="L117" i="1"/>
  <c r="N117" i="1" s="1"/>
  <c r="J117" i="1"/>
  <c r="O117" i="1" s="1"/>
  <c r="F117" i="1"/>
  <c r="S116" i="1"/>
  <c r="L116" i="1"/>
  <c r="N116" i="1" s="1"/>
  <c r="J116" i="1"/>
  <c r="O116" i="1" s="1"/>
  <c r="F116" i="1"/>
  <c r="S115" i="1"/>
  <c r="L115" i="1"/>
  <c r="N115" i="1" s="1"/>
  <c r="J115" i="1"/>
  <c r="O115" i="1" s="1"/>
  <c r="F115" i="1"/>
  <c r="S114" i="1"/>
  <c r="J114" i="1"/>
  <c r="O114" i="1" s="1"/>
  <c r="F114" i="1"/>
  <c r="S113" i="1"/>
  <c r="J113" i="1"/>
  <c r="O113" i="1" s="1"/>
  <c r="F113" i="1"/>
  <c r="S112" i="1"/>
  <c r="L112" i="1"/>
  <c r="N112" i="1" s="1"/>
  <c r="J112" i="1"/>
  <c r="O112" i="1" s="1"/>
  <c r="F112" i="1"/>
  <c r="S111" i="1"/>
  <c r="J111" i="1"/>
  <c r="O111" i="1" s="1"/>
  <c r="F111" i="1"/>
  <c r="S110" i="1"/>
  <c r="L110" i="1"/>
  <c r="N110" i="1" s="1"/>
  <c r="J110" i="1"/>
  <c r="O110" i="1" s="1"/>
  <c r="F110" i="1"/>
  <c r="S109" i="1"/>
  <c r="J109" i="1"/>
  <c r="O109" i="1" s="1"/>
  <c r="F109" i="1"/>
  <c r="S108" i="1"/>
  <c r="J108" i="1"/>
  <c r="O108" i="1" s="1"/>
  <c r="F108" i="1"/>
  <c r="S107" i="1"/>
  <c r="L107" i="1"/>
  <c r="N107" i="1" s="1"/>
  <c r="J107" i="1"/>
  <c r="O107" i="1" s="1"/>
  <c r="F107" i="1"/>
  <c r="S106" i="1"/>
  <c r="J106" i="1"/>
  <c r="O106" i="1" s="1"/>
  <c r="F106" i="1"/>
  <c r="S105" i="1"/>
  <c r="J105" i="1"/>
  <c r="O105" i="1" s="1"/>
  <c r="F105" i="1"/>
  <c r="S104" i="1"/>
  <c r="J104" i="1"/>
  <c r="O104" i="1" s="1"/>
  <c r="F104" i="1"/>
  <c r="S103" i="1"/>
  <c r="L103" i="1"/>
  <c r="N103" i="1" s="1"/>
  <c r="J103" i="1"/>
  <c r="O103" i="1" s="1"/>
  <c r="F103" i="1"/>
  <c r="S102" i="1"/>
  <c r="J102" i="1"/>
  <c r="O102" i="1" s="1"/>
  <c r="F102" i="1"/>
  <c r="S101" i="1"/>
  <c r="J101" i="1"/>
  <c r="O101" i="1" s="1"/>
  <c r="F101" i="1"/>
  <c r="S100" i="1"/>
  <c r="L100" i="1"/>
  <c r="N100" i="1" s="1"/>
  <c r="J100" i="1"/>
  <c r="O100" i="1" s="1"/>
  <c r="F100" i="1"/>
  <c r="S99" i="1"/>
  <c r="J99" i="1"/>
  <c r="O99" i="1" s="1"/>
  <c r="F99" i="1"/>
  <c r="S98" i="1"/>
  <c r="L98" i="1"/>
  <c r="N98" i="1" s="1"/>
  <c r="J98" i="1"/>
  <c r="O98" i="1" s="1"/>
  <c r="F98" i="1"/>
  <c r="S97" i="1"/>
  <c r="J97" i="1"/>
  <c r="O97" i="1" s="1"/>
  <c r="F97" i="1"/>
  <c r="S96" i="1"/>
  <c r="J96" i="1"/>
  <c r="O96" i="1" s="1"/>
  <c r="F96" i="1"/>
  <c r="S95" i="1"/>
  <c r="J95" i="1"/>
  <c r="O95" i="1" s="1"/>
  <c r="F95" i="1"/>
  <c r="S94" i="1"/>
  <c r="J94" i="1"/>
  <c r="O94" i="1" s="1"/>
  <c r="F94" i="1"/>
  <c r="S93" i="1"/>
  <c r="L93" i="1"/>
  <c r="N93" i="1" s="1"/>
  <c r="J93" i="1"/>
  <c r="O93" i="1" s="1"/>
  <c r="F93" i="1"/>
  <c r="S92" i="1"/>
  <c r="L92" i="1"/>
  <c r="N92" i="1" s="1"/>
  <c r="J92" i="1"/>
  <c r="O92" i="1" s="1"/>
  <c r="F92" i="1"/>
  <c r="S91" i="1"/>
  <c r="J91" i="1"/>
  <c r="F91" i="1"/>
  <c r="S90" i="1"/>
  <c r="L90" i="1"/>
  <c r="N90" i="1" s="1"/>
  <c r="J90" i="1"/>
  <c r="F90" i="1"/>
  <c r="S89" i="1"/>
  <c r="J89" i="1"/>
  <c r="F89" i="1"/>
  <c r="S88" i="1"/>
  <c r="J88" i="1"/>
  <c r="F88" i="1"/>
  <c r="S87" i="1"/>
  <c r="L87" i="1"/>
  <c r="N87" i="1" s="1"/>
  <c r="J87" i="1"/>
  <c r="F87" i="1"/>
  <c r="S86" i="1"/>
  <c r="J86" i="1"/>
  <c r="F86" i="1"/>
  <c r="S85" i="1"/>
  <c r="L85" i="1"/>
  <c r="N85" i="1" s="1"/>
  <c r="J85" i="1"/>
  <c r="F85" i="1"/>
  <c r="S84" i="1"/>
  <c r="L84" i="1"/>
  <c r="N84" i="1" s="1"/>
  <c r="J84" i="1"/>
  <c r="F84" i="1"/>
  <c r="S83" i="1"/>
  <c r="L83" i="1"/>
  <c r="N83" i="1" s="1"/>
  <c r="J83" i="1"/>
  <c r="F83" i="1"/>
  <c r="S82" i="1"/>
  <c r="L82" i="1"/>
  <c r="N82" i="1" s="1"/>
  <c r="J82" i="1"/>
  <c r="F82" i="1"/>
  <c r="S81" i="1"/>
  <c r="L81" i="1"/>
  <c r="N81" i="1" s="1"/>
  <c r="J81" i="1"/>
  <c r="F81" i="1"/>
  <c r="S80" i="1"/>
  <c r="L80" i="1"/>
  <c r="N80" i="1" s="1"/>
  <c r="J80" i="1"/>
  <c r="F80" i="1"/>
  <c r="S79" i="1"/>
  <c r="J79" i="1"/>
  <c r="F79" i="1"/>
  <c r="S78" i="1"/>
  <c r="J78" i="1"/>
  <c r="F78" i="1"/>
  <c r="S77" i="1"/>
  <c r="J77" i="1"/>
  <c r="F77" i="1"/>
  <c r="S76" i="1"/>
  <c r="J76" i="1"/>
  <c r="F76" i="1"/>
  <c r="S75" i="1"/>
  <c r="J75" i="1"/>
  <c r="F75" i="1"/>
  <c r="S74" i="1"/>
  <c r="J74" i="1"/>
  <c r="F74" i="1"/>
  <c r="S73" i="1"/>
  <c r="J73" i="1"/>
  <c r="F73" i="1"/>
  <c r="S72" i="1"/>
  <c r="L72" i="1"/>
  <c r="N72" i="1" s="1"/>
  <c r="J72" i="1"/>
  <c r="F72" i="1"/>
  <c r="S71" i="1"/>
  <c r="L71" i="1"/>
  <c r="N71" i="1" s="1"/>
  <c r="J71" i="1"/>
  <c r="F71" i="1"/>
  <c r="S70" i="1"/>
  <c r="J70" i="1"/>
  <c r="F70" i="1"/>
  <c r="S69" i="1"/>
  <c r="J69" i="1"/>
  <c r="F69" i="1"/>
  <c r="S68" i="1"/>
  <c r="L68" i="1"/>
  <c r="N68" i="1" s="1"/>
  <c r="J68" i="1"/>
  <c r="F68" i="1"/>
  <c r="S67" i="1"/>
  <c r="J67" i="1"/>
  <c r="F67" i="1"/>
  <c r="S66" i="1"/>
  <c r="L66" i="1"/>
  <c r="N66" i="1" s="1"/>
  <c r="J66" i="1"/>
  <c r="F66" i="1"/>
  <c r="S65" i="1"/>
  <c r="L65" i="1"/>
  <c r="N65" i="1" s="1"/>
  <c r="J65" i="1"/>
  <c r="F65" i="1"/>
  <c r="S64" i="1"/>
  <c r="J64" i="1"/>
  <c r="F64" i="1"/>
  <c r="S63" i="1"/>
  <c r="J63" i="1"/>
  <c r="F63" i="1"/>
  <c r="S62" i="1"/>
  <c r="J62" i="1"/>
  <c r="F62" i="1"/>
  <c r="S61" i="1"/>
  <c r="J61" i="1"/>
  <c r="F61" i="1"/>
  <c r="S60" i="1"/>
  <c r="J60" i="1"/>
  <c r="F60" i="1"/>
  <c r="S59" i="1"/>
  <c r="L59" i="1"/>
  <c r="N59" i="1" s="1"/>
  <c r="J59" i="1"/>
  <c r="F59" i="1"/>
  <c r="S58" i="1"/>
  <c r="L58" i="1"/>
  <c r="N58" i="1" s="1"/>
  <c r="J58" i="1"/>
  <c r="F58" i="1"/>
  <c r="S57" i="1"/>
  <c r="L57" i="1"/>
  <c r="N57" i="1" s="1"/>
  <c r="J57" i="1"/>
  <c r="F57" i="1"/>
  <c r="S56" i="1"/>
  <c r="J56" i="1"/>
  <c r="F56" i="1"/>
  <c r="S55" i="1"/>
  <c r="J55" i="1"/>
  <c r="F55" i="1"/>
  <c r="S54" i="1"/>
  <c r="J54" i="1"/>
  <c r="F54" i="1"/>
  <c r="S53" i="1"/>
  <c r="L53" i="1"/>
  <c r="N53" i="1" s="1"/>
  <c r="J53" i="1"/>
  <c r="F53" i="1"/>
  <c r="S52" i="1"/>
  <c r="L52" i="1"/>
  <c r="N52" i="1" s="1"/>
  <c r="J52" i="1"/>
  <c r="F52" i="1"/>
  <c r="S51" i="1"/>
  <c r="L51" i="1"/>
  <c r="N51" i="1" s="1"/>
  <c r="J51" i="1"/>
  <c r="F51" i="1"/>
  <c r="S50" i="1"/>
  <c r="L50" i="1"/>
  <c r="N50" i="1" s="1"/>
  <c r="J50" i="1"/>
  <c r="F50" i="1"/>
  <c r="S49" i="1"/>
  <c r="J49" i="1"/>
  <c r="F49" i="1"/>
  <c r="S48" i="1"/>
  <c r="J48" i="1"/>
  <c r="F48" i="1"/>
  <c r="S47" i="1"/>
  <c r="J47" i="1"/>
  <c r="F47" i="1"/>
  <c r="S46" i="1"/>
  <c r="L46" i="1"/>
  <c r="N46" i="1" s="1"/>
  <c r="J46" i="1"/>
  <c r="F46" i="1"/>
  <c r="S45" i="1"/>
  <c r="J45" i="1"/>
  <c r="F45" i="1"/>
  <c r="S44" i="1"/>
  <c r="L44" i="1"/>
  <c r="N44" i="1" s="1"/>
  <c r="J44" i="1"/>
  <c r="F44" i="1"/>
  <c r="S43" i="1"/>
  <c r="J43" i="1"/>
  <c r="F43" i="1"/>
  <c r="S42" i="1"/>
  <c r="L42" i="1"/>
  <c r="N42" i="1" s="1"/>
  <c r="J42" i="1"/>
  <c r="F42" i="1"/>
  <c r="S41" i="1"/>
  <c r="L41" i="1"/>
  <c r="N41" i="1" s="1"/>
  <c r="J41" i="1"/>
  <c r="F41" i="1"/>
  <c r="S40" i="1"/>
  <c r="L40" i="1"/>
  <c r="N40" i="1" s="1"/>
  <c r="J40" i="1"/>
  <c r="F40" i="1"/>
  <c r="S39" i="1"/>
  <c r="J39" i="1"/>
  <c r="F39" i="1"/>
  <c r="S38" i="1"/>
  <c r="J38" i="1"/>
  <c r="F38" i="1"/>
  <c r="S37" i="1"/>
  <c r="L37" i="1"/>
  <c r="N37" i="1" s="1"/>
  <c r="J37" i="1"/>
  <c r="F37" i="1"/>
  <c r="S36" i="1"/>
  <c r="J36" i="1"/>
  <c r="F36" i="1"/>
  <c r="S35" i="1"/>
  <c r="J35" i="1"/>
  <c r="F35" i="1"/>
  <c r="S34" i="1"/>
  <c r="L34" i="1"/>
  <c r="N34" i="1" s="1"/>
  <c r="J34" i="1"/>
  <c r="F34" i="1"/>
  <c r="S33" i="1"/>
  <c r="L33" i="1"/>
  <c r="N33" i="1" s="1"/>
  <c r="J33" i="1"/>
  <c r="F33" i="1"/>
  <c r="S32" i="1"/>
  <c r="L32" i="1"/>
  <c r="N32" i="1" s="1"/>
  <c r="J32" i="1"/>
  <c r="F32" i="1"/>
  <c r="S31" i="1"/>
  <c r="J31" i="1"/>
  <c r="F31" i="1"/>
  <c r="S30" i="1"/>
  <c r="L30" i="1"/>
  <c r="N30" i="1" s="1"/>
  <c r="J30" i="1"/>
  <c r="F30" i="1"/>
  <c r="S29" i="1"/>
  <c r="J29" i="1"/>
  <c r="F29" i="1"/>
  <c r="S28" i="1"/>
  <c r="L28" i="1"/>
  <c r="N28" i="1" s="1"/>
  <c r="J28" i="1"/>
  <c r="F28" i="1"/>
  <c r="S27" i="1"/>
  <c r="L27" i="1"/>
  <c r="N27" i="1" s="1"/>
  <c r="J27" i="1"/>
  <c r="F27" i="1"/>
  <c r="S26" i="1"/>
  <c r="L26" i="1"/>
  <c r="N26" i="1" s="1"/>
  <c r="J26" i="1"/>
  <c r="F26" i="1"/>
  <c r="U25" i="1"/>
  <c r="S25" i="1"/>
  <c r="L25" i="1"/>
  <c r="N25" i="1" s="1"/>
  <c r="J25" i="1"/>
  <c r="F25" i="1"/>
  <c r="S24" i="1"/>
  <c r="L24" i="1"/>
  <c r="N24" i="1" s="1"/>
  <c r="J24" i="1"/>
  <c r="F24" i="1"/>
  <c r="S23" i="1"/>
  <c r="L23" i="1"/>
  <c r="N23" i="1" s="1"/>
  <c r="J23" i="1"/>
  <c r="F23" i="1"/>
  <c r="S22" i="1"/>
  <c r="L22" i="1"/>
  <c r="N22" i="1" s="1"/>
  <c r="J22" i="1"/>
  <c r="F22" i="1"/>
  <c r="S21" i="1"/>
  <c r="J21" i="1"/>
  <c r="F21" i="1"/>
  <c r="S20" i="1"/>
  <c r="L20" i="1"/>
  <c r="N20" i="1" s="1"/>
  <c r="J20" i="1"/>
  <c r="F20" i="1"/>
  <c r="S19" i="1"/>
  <c r="L19" i="1"/>
  <c r="N19" i="1" s="1"/>
  <c r="J19" i="1"/>
  <c r="F19" i="1"/>
  <c r="S18" i="1"/>
  <c r="J18" i="1"/>
  <c r="F18" i="1"/>
  <c r="S17" i="1"/>
  <c r="L17" i="1"/>
  <c r="N17" i="1" s="1"/>
  <c r="J17" i="1"/>
  <c r="F17" i="1"/>
  <c r="S16" i="1"/>
  <c r="J16" i="1"/>
  <c r="F16" i="1"/>
  <c r="S15" i="1"/>
  <c r="L15" i="1"/>
  <c r="N15" i="1" s="1"/>
  <c r="J15" i="1"/>
  <c r="F15" i="1"/>
  <c r="S14" i="1"/>
  <c r="J14" i="1"/>
  <c r="F14" i="1"/>
  <c r="S13" i="1"/>
  <c r="J13" i="1"/>
  <c r="F13" i="1"/>
  <c r="S12" i="1"/>
  <c r="L12" i="1"/>
  <c r="N12" i="1" s="1"/>
  <c r="J12" i="1"/>
  <c r="F12" i="1"/>
  <c r="S11" i="1"/>
  <c r="J11" i="1"/>
  <c r="F11" i="1"/>
  <c r="S10" i="1"/>
  <c r="L10" i="1"/>
  <c r="N10" i="1" s="1"/>
  <c r="J10" i="1"/>
  <c r="F10" i="1"/>
  <c r="S9" i="1"/>
  <c r="L9" i="1"/>
  <c r="N9" i="1" s="1"/>
  <c r="J9" i="1"/>
  <c r="F9" i="1"/>
  <c r="S8" i="1"/>
  <c r="L8" i="1"/>
  <c r="N8" i="1" s="1"/>
  <c r="J8" i="1"/>
  <c r="F8" i="1"/>
  <c r="S7" i="1"/>
  <c r="L7" i="1"/>
  <c r="N7" i="1" s="1"/>
  <c r="J7" i="1"/>
  <c r="F7" i="1"/>
  <c r="S6" i="1"/>
  <c r="L6" i="1"/>
  <c r="N6" i="1" s="1"/>
  <c r="J6" i="1"/>
  <c r="O6" i="1" s="1"/>
  <c r="V4" i="1"/>
  <c r="S4" i="1"/>
  <c r="F4" i="1"/>
  <c r="O7" i="1" l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P6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K155" i="1"/>
  <c r="K149" i="1"/>
  <c r="K139" i="1"/>
  <c r="K114" i="1"/>
  <c r="K78" i="1"/>
  <c r="K73" i="1"/>
  <c r="K32" i="1"/>
  <c r="K28" i="1"/>
  <c r="K25" i="1"/>
  <c r="K19" i="1"/>
  <c r="K8" i="1"/>
  <c r="P4" i="7"/>
  <c r="M4" i="7"/>
  <c r="J4" i="7"/>
  <c r="F4" i="7"/>
  <c r="P4" i="6"/>
  <c r="M4" i="6"/>
  <c r="J4" i="6"/>
  <c r="F4" i="6"/>
  <c r="V163" i="4"/>
  <c r="S163" i="4"/>
  <c r="L163" i="4"/>
  <c r="N163" i="4" s="1"/>
  <c r="J163" i="4"/>
  <c r="F163" i="4"/>
  <c r="V162" i="4"/>
  <c r="S162" i="4"/>
  <c r="L162" i="4"/>
  <c r="N162" i="4" s="1"/>
  <c r="J162" i="4"/>
  <c r="F162" i="4"/>
  <c r="V161" i="4"/>
  <c r="S161" i="4"/>
  <c r="L161" i="4"/>
  <c r="N161" i="4" s="1"/>
  <c r="K161" i="4"/>
  <c r="J161" i="4"/>
  <c r="F161" i="4"/>
  <c r="V160" i="4"/>
  <c r="S160" i="4"/>
  <c r="N160" i="4"/>
  <c r="J160" i="4"/>
  <c r="F160" i="4"/>
  <c r="V159" i="4"/>
  <c r="S159" i="4"/>
  <c r="L159" i="4"/>
  <c r="N159" i="4" s="1"/>
  <c r="K159" i="4"/>
  <c r="J159" i="4"/>
  <c r="F159" i="4"/>
  <c r="V158" i="4"/>
  <c r="S158" i="4"/>
  <c r="N158" i="4"/>
  <c r="J158" i="4"/>
  <c r="F158" i="4"/>
  <c r="V157" i="4"/>
  <c r="S157" i="4"/>
  <c r="L157" i="4"/>
  <c r="N157" i="4" s="1"/>
  <c r="J157" i="4"/>
  <c r="F157" i="4"/>
  <c r="T156" i="4"/>
  <c r="V156" i="4" s="1"/>
  <c r="S156" i="4"/>
  <c r="L156" i="4"/>
  <c r="N156" i="4" s="1"/>
  <c r="K156" i="4"/>
  <c r="J156" i="4"/>
  <c r="F156" i="4"/>
  <c r="V155" i="4"/>
  <c r="S155" i="4"/>
  <c r="N155" i="4"/>
  <c r="J155" i="4"/>
  <c r="F155" i="4"/>
  <c r="V154" i="4"/>
  <c r="S154" i="4"/>
  <c r="L154" i="4"/>
  <c r="N154" i="4" s="1"/>
  <c r="K154" i="4"/>
  <c r="J154" i="4"/>
  <c r="F154" i="4"/>
  <c r="V153" i="4"/>
  <c r="S153" i="4"/>
  <c r="N153" i="4"/>
  <c r="J153" i="4"/>
  <c r="F153" i="4"/>
  <c r="V152" i="4"/>
  <c r="S152" i="4"/>
  <c r="L152" i="4"/>
  <c r="N152" i="4" s="1"/>
  <c r="K152" i="4"/>
  <c r="J152" i="4"/>
  <c r="F152" i="4"/>
  <c r="V151" i="4"/>
  <c r="S151" i="4"/>
  <c r="N151" i="4"/>
  <c r="J151" i="4"/>
  <c r="F151" i="4"/>
  <c r="V150" i="4"/>
  <c r="S150" i="4"/>
  <c r="L150" i="4"/>
  <c r="N150" i="4" s="1"/>
  <c r="K150" i="4"/>
  <c r="J150" i="4"/>
  <c r="F150" i="4"/>
  <c r="V149" i="4"/>
  <c r="S149" i="4"/>
  <c r="L149" i="4"/>
  <c r="N149" i="4" s="1"/>
  <c r="K149" i="4"/>
  <c r="J149" i="4"/>
  <c r="F149" i="4"/>
  <c r="V148" i="4"/>
  <c r="S148" i="4"/>
  <c r="L148" i="4"/>
  <c r="N148" i="4" s="1"/>
  <c r="K148" i="4"/>
  <c r="J148" i="4"/>
  <c r="F148" i="4"/>
  <c r="V147" i="4"/>
  <c r="S147" i="4"/>
  <c r="L147" i="4"/>
  <c r="N147" i="4" s="1"/>
  <c r="K147" i="4"/>
  <c r="J147" i="4"/>
  <c r="F147" i="4"/>
  <c r="V146" i="4"/>
  <c r="S146" i="4"/>
  <c r="L146" i="4"/>
  <c r="N146" i="4" s="1"/>
  <c r="K146" i="4"/>
  <c r="J146" i="4"/>
  <c r="F146" i="4"/>
  <c r="V145" i="4"/>
  <c r="S145" i="4"/>
  <c r="L145" i="4"/>
  <c r="N145" i="4" s="1"/>
  <c r="K145" i="4"/>
  <c r="J145" i="4"/>
  <c r="F145" i="4"/>
  <c r="V144" i="4"/>
  <c r="S144" i="4"/>
  <c r="L144" i="4"/>
  <c r="N144" i="4" s="1"/>
  <c r="K144" i="4"/>
  <c r="J144" i="4"/>
  <c r="F144" i="4"/>
  <c r="V143" i="4"/>
  <c r="S143" i="4"/>
  <c r="N143" i="4"/>
  <c r="J143" i="4"/>
  <c r="F143" i="4"/>
  <c r="V142" i="4"/>
  <c r="S142" i="4"/>
  <c r="L142" i="4"/>
  <c r="N142" i="4" s="1"/>
  <c r="K142" i="4"/>
  <c r="J142" i="4"/>
  <c r="F142" i="4"/>
  <c r="V141" i="4"/>
  <c r="S141" i="4"/>
  <c r="L141" i="4"/>
  <c r="N141" i="4" s="1"/>
  <c r="K141" i="4"/>
  <c r="J141" i="4"/>
  <c r="F141" i="4"/>
  <c r="V140" i="4"/>
  <c r="S140" i="4"/>
  <c r="N140" i="4"/>
  <c r="K140" i="4"/>
  <c r="J140" i="4"/>
  <c r="F140" i="4"/>
  <c r="T139" i="4"/>
  <c r="V139" i="4" s="1"/>
  <c r="S139" i="4"/>
  <c r="L139" i="4"/>
  <c r="N139" i="4" s="1"/>
  <c r="K139" i="4"/>
  <c r="J139" i="4"/>
  <c r="F139" i="4"/>
  <c r="V138" i="4"/>
  <c r="S138" i="4"/>
  <c r="N138" i="4"/>
  <c r="J138" i="4"/>
  <c r="F138" i="4"/>
  <c r="V137" i="4"/>
  <c r="S137" i="4"/>
  <c r="L137" i="4"/>
  <c r="N137" i="4" s="1"/>
  <c r="K137" i="4"/>
  <c r="J137" i="4"/>
  <c r="F137" i="4"/>
  <c r="V136" i="4"/>
  <c r="S136" i="4"/>
  <c r="N136" i="4"/>
  <c r="J136" i="4"/>
  <c r="F136" i="4"/>
  <c r="V135" i="4"/>
  <c r="S135" i="4"/>
  <c r="L135" i="4"/>
  <c r="N135" i="4" s="1"/>
  <c r="K135" i="4"/>
  <c r="J135" i="4"/>
  <c r="F135" i="4"/>
  <c r="V134" i="4"/>
  <c r="S134" i="4"/>
  <c r="N134" i="4"/>
  <c r="K134" i="4"/>
  <c r="J134" i="4"/>
  <c r="F134" i="4"/>
  <c r="V133" i="4"/>
  <c r="S133" i="4"/>
  <c r="L133" i="4"/>
  <c r="N133" i="4" s="1"/>
  <c r="J133" i="4"/>
  <c r="F133" i="4"/>
  <c r="V132" i="4"/>
  <c r="S132" i="4"/>
  <c r="L132" i="4"/>
  <c r="N132" i="4" s="1"/>
  <c r="K132" i="4"/>
  <c r="J132" i="4"/>
  <c r="F132" i="4"/>
  <c r="V131" i="4"/>
  <c r="S131" i="4"/>
  <c r="L131" i="4"/>
  <c r="N131" i="4" s="1"/>
  <c r="K131" i="4"/>
  <c r="J131" i="4"/>
  <c r="F131" i="4"/>
  <c r="V130" i="4"/>
  <c r="S130" i="4"/>
  <c r="N130" i="4"/>
  <c r="J130" i="4"/>
  <c r="F130" i="4"/>
  <c r="V129" i="4"/>
  <c r="S129" i="4"/>
  <c r="L129" i="4"/>
  <c r="N129" i="4" s="1"/>
  <c r="K129" i="4"/>
  <c r="J129" i="4"/>
  <c r="F129" i="4"/>
  <c r="V128" i="4"/>
  <c r="S128" i="4"/>
  <c r="L128" i="4"/>
  <c r="N128" i="4" s="1"/>
  <c r="K128" i="4"/>
  <c r="J128" i="4"/>
  <c r="F128" i="4"/>
  <c r="V127" i="4"/>
  <c r="S127" i="4"/>
  <c r="L127" i="4"/>
  <c r="N127" i="4" s="1"/>
  <c r="K127" i="4"/>
  <c r="J127" i="4"/>
  <c r="F127" i="4"/>
  <c r="V126" i="4"/>
  <c r="S126" i="4"/>
  <c r="L126" i="4"/>
  <c r="N126" i="4" s="1"/>
  <c r="K126" i="4"/>
  <c r="J126" i="4"/>
  <c r="F126" i="4"/>
  <c r="V125" i="4"/>
  <c r="S125" i="4"/>
  <c r="L125" i="4"/>
  <c r="N125" i="4" s="1"/>
  <c r="K125" i="4"/>
  <c r="J125" i="4"/>
  <c r="F125" i="4"/>
  <c r="V124" i="4"/>
  <c r="S124" i="4"/>
  <c r="L124" i="4"/>
  <c r="N124" i="4" s="1"/>
  <c r="K124" i="4"/>
  <c r="J124" i="4"/>
  <c r="F124" i="4"/>
  <c r="V123" i="4"/>
  <c r="S123" i="4"/>
  <c r="N123" i="4"/>
  <c r="J123" i="4"/>
  <c r="F123" i="4"/>
  <c r="V122" i="4"/>
  <c r="S122" i="4"/>
  <c r="N122" i="4"/>
  <c r="J122" i="4"/>
  <c r="F122" i="4"/>
  <c r="V121" i="4"/>
  <c r="S121" i="4"/>
  <c r="N121" i="4"/>
  <c r="J121" i="4"/>
  <c r="F121" i="4"/>
  <c r="V120" i="4"/>
  <c r="S120" i="4"/>
  <c r="N120" i="4"/>
  <c r="J120" i="4"/>
  <c r="F120" i="4"/>
  <c r="V119" i="4"/>
  <c r="S119" i="4"/>
  <c r="N119" i="4"/>
  <c r="J119" i="4"/>
  <c r="F119" i="4"/>
  <c r="V118" i="4"/>
  <c r="S118" i="4"/>
  <c r="N118" i="4"/>
  <c r="J118" i="4"/>
  <c r="F118" i="4"/>
  <c r="V117" i="4"/>
  <c r="S117" i="4"/>
  <c r="L117" i="4"/>
  <c r="N117" i="4" s="1"/>
  <c r="K117" i="4"/>
  <c r="J117" i="4"/>
  <c r="F117" i="4"/>
  <c r="V116" i="4"/>
  <c r="S116" i="4"/>
  <c r="L116" i="4"/>
  <c r="N116" i="4" s="1"/>
  <c r="K116" i="4"/>
  <c r="J116" i="4"/>
  <c r="F116" i="4"/>
  <c r="V115" i="4"/>
  <c r="S115" i="4"/>
  <c r="L115" i="4"/>
  <c r="N115" i="4" s="1"/>
  <c r="K115" i="4"/>
  <c r="J115" i="4"/>
  <c r="F115" i="4"/>
  <c r="V114" i="4"/>
  <c r="S114" i="4"/>
  <c r="N114" i="4"/>
  <c r="J114" i="4"/>
  <c r="F114" i="4"/>
  <c r="V113" i="4"/>
  <c r="S113" i="4"/>
  <c r="L113" i="4"/>
  <c r="N113" i="4" s="1"/>
  <c r="K113" i="4"/>
  <c r="J113" i="4"/>
  <c r="F113" i="4"/>
  <c r="V112" i="4"/>
  <c r="S112" i="4"/>
  <c r="L112" i="4"/>
  <c r="N112" i="4" s="1"/>
  <c r="K112" i="4"/>
  <c r="J112" i="4"/>
  <c r="F112" i="4"/>
  <c r="V111" i="4"/>
  <c r="S111" i="4"/>
  <c r="N111" i="4"/>
  <c r="J111" i="4"/>
  <c r="F111" i="4"/>
  <c r="V110" i="4"/>
  <c r="S110" i="4"/>
  <c r="L110" i="4"/>
  <c r="N110" i="4" s="1"/>
  <c r="K110" i="4"/>
  <c r="J110" i="4"/>
  <c r="F110" i="4"/>
  <c r="V109" i="4"/>
  <c r="S109" i="4"/>
  <c r="N109" i="4"/>
  <c r="J109" i="4"/>
  <c r="F109" i="4"/>
  <c r="V108" i="4"/>
  <c r="S108" i="4"/>
  <c r="N108" i="4"/>
  <c r="J108" i="4"/>
  <c r="F108" i="4"/>
  <c r="V107" i="4"/>
  <c r="S107" i="4"/>
  <c r="L107" i="4"/>
  <c r="N107" i="4" s="1"/>
  <c r="K107" i="4"/>
  <c r="J107" i="4"/>
  <c r="F107" i="4"/>
  <c r="V106" i="4"/>
  <c r="S106" i="4"/>
  <c r="N106" i="4"/>
  <c r="J106" i="4"/>
  <c r="F106" i="4"/>
  <c r="V105" i="4"/>
  <c r="S105" i="4"/>
  <c r="N105" i="4"/>
  <c r="J105" i="4"/>
  <c r="F105" i="4"/>
  <c r="V104" i="4"/>
  <c r="S104" i="4"/>
  <c r="N104" i="4"/>
  <c r="J104" i="4"/>
  <c r="F104" i="4"/>
  <c r="V103" i="4"/>
  <c r="S103" i="4"/>
  <c r="L103" i="4"/>
  <c r="N103" i="4" s="1"/>
  <c r="J103" i="4"/>
  <c r="F103" i="4"/>
  <c r="V102" i="4"/>
  <c r="S102" i="4"/>
  <c r="L102" i="4"/>
  <c r="N102" i="4" s="1"/>
  <c r="K102" i="4"/>
  <c r="J102" i="4"/>
  <c r="F102" i="4"/>
  <c r="V101" i="4"/>
  <c r="S101" i="4"/>
  <c r="L101" i="4"/>
  <c r="N101" i="4" s="1"/>
  <c r="J101" i="4"/>
  <c r="F101" i="4"/>
  <c r="V100" i="4"/>
  <c r="S100" i="4"/>
  <c r="L100" i="4"/>
  <c r="N100" i="4" s="1"/>
  <c r="K100" i="4"/>
  <c r="J100" i="4"/>
  <c r="F100" i="4"/>
  <c r="V99" i="4"/>
  <c r="S99" i="4"/>
  <c r="N99" i="4"/>
  <c r="J99" i="4"/>
  <c r="F99" i="4"/>
  <c r="V98" i="4"/>
  <c r="S98" i="4"/>
  <c r="L98" i="4"/>
  <c r="N98" i="4" s="1"/>
  <c r="K98" i="4"/>
  <c r="J98" i="4"/>
  <c r="F98" i="4"/>
  <c r="V97" i="4"/>
  <c r="S97" i="4"/>
  <c r="N97" i="4"/>
  <c r="J97" i="4"/>
  <c r="F97" i="4"/>
  <c r="V96" i="4"/>
  <c r="S96" i="4"/>
  <c r="N96" i="4"/>
  <c r="J96" i="4"/>
  <c r="F96" i="4"/>
  <c r="V95" i="4"/>
  <c r="S95" i="4"/>
  <c r="N95" i="4"/>
  <c r="J95" i="4"/>
  <c r="F95" i="4"/>
  <c r="V94" i="4"/>
  <c r="S94" i="4"/>
  <c r="N94" i="4"/>
  <c r="J94" i="4"/>
  <c r="F94" i="4"/>
  <c r="V93" i="4"/>
  <c r="S93" i="4"/>
  <c r="N93" i="4"/>
  <c r="J93" i="4"/>
  <c r="F93" i="4"/>
  <c r="V92" i="4"/>
  <c r="S92" i="4"/>
  <c r="L92" i="4"/>
  <c r="N92" i="4" s="1"/>
  <c r="K92" i="4"/>
  <c r="J92" i="4"/>
  <c r="F92" i="4"/>
  <c r="V91" i="4"/>
  <c r="S91" i="4"/>
  <c r="N91" i="4"/>
  <c r="J91" i="4"/>
  <c r="F91" i="4"/>
  <c r="V90" i="4"/>
  <c r="S90" i="4"/>
  <c r="L90" i="4"/>
  <c r="N90" i="4" s="1"/>
  <c r="K90" i="4"/>
  <c r="J90" i="4"/>
  <c r="F90" i="4"/>
  <c r="V89" i="4"/>
  <c r="S89" i="4"/>
  <c r="N89" i="4"/>
  <c r="J89" i="4"/>
  <c r="F89" i="4"/>
  <c r="V88" i="4"/>
  <c r="S88" i="4"/>
  <c r="N88" i="4"/>
  <c r="J88" i="4"/>
  <c r="F88" i="4"/>
  <c r="V87" i="4"/>
  <c r="S87" i="4"/>
  <c r="L87" i="4"/>
  <c r="N87" i="4" s="1"/>
  <c r="J87" i="4"/>
  <c r="F87" i="4"/>
  <c r="V86" i="4"/>
  <c r="S86" i="4"/>
  <c r="N86" i="4"/>
  <c r="J86" i="4"/>
  <c r="F86" i="4"/>
  <c r="V85" i="4"/>
  <c r="S85" i="4"/>
  <c r="L85" i="4"/>
  <c r="N85" i="4" s="1"/>
  <c r="K85" i="4"/>
  <c r="J85" i="4"/>
  <c r="F85" i="4"/>
  <c r="V84" i="4"/>
  <c r="S84" i="4"/>
  <c r="L84" i="4"/>
  <c r="N84" i="4" s="1"/>
  <c r="K84" i="4"/>
  <c r="J84" i="4"/>
  <c r="F84" i="4"/>
  <c r="V83" i="4"/>
  <c r="S83" i="4"/>
  <c r="L83" i="4"/>
  <c r="N83" i="4" s="1"/>
  <c r="K83" i="4"/>
  <c r="J83" i="4"/>
  <c r="F83" i="4"/>
  <c r="V82" i="4"/>
  <c r="S82" i="4"/>
  <c r="L82" i="4"/>
  <c r="N82" i="4" s="1"/>
  <c r="K82" i="4"/>
  <c r="J82" i="4"/>
  <c r="F82" i="4"/>
  <c r="V81" i="4"/>
  <c r="S81" i="4"/>
  <c r="L81" i="4"/>
  <c r="N81" i="4" s="1"/>
  <c r="K81" i="4"/>
  <c r="J81" i="4"/>
  <c r="F81" i="4"/>
  <c r="V80" i="4"/>
  <c r="S80" i="4"/>
  <c r="L80" i="4"/>
  <c r="N80" i="4" s="1"/>
  <c r="K80" i="4"/>
  <c r="J80" i="4"/>
  <c r="F80" i="4"/>
  <c r="V79" i="4"/>
  <c r="S79" i="4"/>
  <c r="N79" i="4"/>
  <c r="J79" i="4"/>
  <c r="F79" i="4"/>
  <c r="V78" i="4"/>
  <c r="S78" i="4"/>
  <c r="N78" i="4"/>
  <c r="J78" i="4"/>
  <c r="F78" i="4"/>
  <c r="V77" i="4"/>
  <c r="S77" i="4"/>
  <c r="N77" i="4"/>
  <c r="J77" i="4"/>
  <c r="F77" i="4"/>
  <c r="V76" i="4"/>
  <c r="S76" i="4"/>
  <c r="N76" i="4"/>
  <c r="J76" i="4"/>
  <c r="F76" i="4"/>
  <c r="V75" i="4"/>
  <c r="S75" i="4"/>
  <c r="N75" i="4"/>
  <c r="J75" i="4"/>
  <c r="F75" i="4"/>
  <c r="V74" i="4"/>
  <c r="S74" i="4"/>
  <c r="N74" i="4"/>
  <c r="J74" i="4"/>
  <c r="F74" i="4"/>
  <c r="V73" i="4"/>
  <c r="S73" i="4"/>
  <c r="L73" i="4"/>
  <c r="N73" i="4" s="1"/>
  <c r="K73" i="4"/>
  <c r="J73" i="4"/>
  <c r="F73" i="4"/>
  <c r="V72" i="4"/>
  <c r="S72" i="4"/>
  <c r="L72" i="4"/>
  <c r="N72" i="4" s="1"/>
  <c r="J72" i="4"/>
  <c r="F72" i="4"/>
  <c r="V71" i="4"/>
  <c r="S71" i="4"/>
  <c r="L71" i="4"/>
  <c r="N71" i="4" s="1"/>
  <c r="K71" i="4"/>
  <c r="J71" i="4"/>
  <c r="F71" i="4"/>
  <c r="V70" i="4"/>
  <c r="S70" i="4"/>
  <c r="N70" i="4"/>
  <c r="J70" i="4"/>
  <c r="F70" i="4"/>
  <c r="V69" i="4"/>
  <c r="S69" i="4"/>
  <c r="N69" i="4"/>
  <c r="J69" i="4"/>
  <c r="F69" i="4"/>
  <c r="V68" i="4"/>
  <c r="S68" i="4"/>
  <c r="L68" i="4"/>
  <c r="N68" i="4" s="1"/>
  <c r="K68" i="4"/>
  <c r="J68" i="4"/>
  <c r="F68" i="4"/>
  <c r="V67" i="4"/>
  <c r="S67" i="4"/>
  <c r="L67" i="4"/>
  <c r="N67" i="4" s="1"/>
  <c r="K67" i="4"/>
  <c r="J67" i="4"/>
  <c r="F67" i="4"/>
  <c r="V66" i="4"/>
  <c r="S66" i="4"/>
  <c r="N66" i="4"/>
  <c r="J66" i="4"/>
  <c r="F66" i="4"/>
  <c r="V65" i="4"/>
  <c r="S65" i="4"/>
  <c r="L65" i="4"/>
  <c r="N65" i="4" s="1"/>
  <c r="K65" i="4"/>
  <c r="J65" i="4"/>
  <c r="F65" i="4"/>
  <c r="V64" i="4"/>
  <c r="S64" i="4"/>
  <c r="N64" i="4"/>
  <c r="J64" i="4"/>
  <c r="F64" i="4"/>
  <c r="V63" i="4"/>
  <c r="S63" i="4"/>
  <c r="N63" i="4"/>
  <c r="K63" i="4"/>
  <c r="J63" i="4"/>
  <c r="F63" i="4"/>
  <c r="V62" i="4"/>
  <c r="S62" i="4"/>
  <c r="N62" i="4"/>
  <c r="K62" i="4"/>
  <c r="J62" i="4"/>
  <c r="F62" i="4"/>
  <c r="V61" i="4"/>
  <c r="S61" i="4"/>
  <c r="N61" i="4"/>
  <c r="J61" i="4"/>
  <c r="F61" i="4"/>
  <c r="V60" i="4"/>
  <c r="S60" i="4"/>
  <c r="L60" i="4"/>
  <c r="N60" i="4" s="1"/>
  <c r="J60" i="4"/>
  <c r="F60" i="4"/>
  <c r="V59" i="4"/>
  <c r="S59" i="4"/>
  <c r="L59" i="4"/>
  <c r="N59" i="4" s="1"/>
  <c r="K59" i="4"/>
  <c r="G59" i="4"/>
  <c r="J59" i="4" s="1"/>
  <c r="F59" i="4"/>
  <c r="V58" i="4"/>
  <c r="S58" i="4"/>
  <c r="L58" i="4"/>
  <c r="N58" i="4" s="1"/>
  <c r="K58" i="4"/>
  <c r="J58" i="4"/>
  <c r="F58" i="4"/>
  <c r="V57" i="4"/>
  <c r="S57" i="4"/>
  <c r="L57" i="4"/>
  <c r="N57" i="4" s="1"/>
  <c r="K57" i="4"/>
  <c r="G57" i="4"/>
  <c r="J57" i="4" s="1"/>
  <c r="F57" i="4"/>
  <c r="V56" i="4"/>
  <c r="S56" i="4"/>
  <c r="N56" i="4"/>
  <c r="J56" i="4"/>
  <c r="F56" i="4"/>
  <c r="V55" i="4"/>
  <c r="S55" i="4"/>
  <c r="L55" i="4"/>
  <c r="N55" i="4" s="1"/>
  <c r="K55" i="4"/>
  <c r="J55" i="4"/>
  <c r="F55" i="4"/>
  <c r="V54" i="4"/>
  <c r="S54" i="4"/>
  <c r="N54" i="4"/>
  <c r="K54" i="4"/>
  <c r="J54" i="4"/>
  <c r="F54" i="4"/>
  <c r="V53" i="4"/>
  <c r="S53" i="4"/>
  <c r="L53" i="4"/>
  <c r="N53" i="4" s="1"/>
  <c r="J53" i="4"/>
  <c r="F53" i="4"/>
  <c r="V52" i="4"/>
  <c r="S52" i="4"/>
  <c r="L52" i="4"/>
  <c r="N52" i="4" s="1"/>
  <c r="K52" i="4"/>
  <c r="J52" i="4"/>
  <c r="F52" i="4"/>
  <c r="V51" i="4"/>
  <c r="S51" i="4"/>
  <c r="L51" i="4"/>
  <c r="N51" i="4" s="1"/>
  <c r="J51" i="4"/>
  <c r="F51" i="4"/>
  <c r="V50" i="4"/>
  <c r="S50" i="4"/>
  <c r="L50" i="4"/>
  <c r="N50" i="4" s="1"/>
  <c r="K50" i="4"/>
  <c r="G50" i="4"/>
  <c r="J50" i="4" s="1"/>
  <c r="F50" i="4"/>
  <c r="V49" i="4"/>
  <c r="S49" i="4"/>
  <c r="N49" i="4"/>
  <c r="J49" i="4"/>
  <c r="F49" i="4"/>
  <c r="V48" i="4"/>
  <c r="S48" i="4"/>
  <c r="L48" i="4"/>
  <c r="N48" i="4" s="1"/>
  <c r="J48" i="4"/>
  <c r="F48" i="4"/>
  <c r="V47" i="4"/>
  <c r="S47" i="4"/>
  <c r="N47" i="4"/>
  <c r="K47" i="4"/>
  <c r="J47" i="4"/>
  <c r="F47" i="4"/>
  <c r="V46" i="4"/>
  <c r="S46" i="4"/>
  <c r="L46" i="4"/>
  <c r="N46" i="4" s="1"/>
  <c r="K46" i="4"/>
  <c r="J46" i="4"/>
  <c r="F46" i="4"/>
  <c r="V45" i="4"/>
  <c r="S45" i="4"/>
  <c r="N45" i="4"/>
  <c r="J45" i="4"/>
  <c r="F45" i="4"/>
  <c r="V44" i="4"/>
  <c r="S44" i="4"/>
  <c r="L44" i="4"/>
  <c r="N44" i="4" s="1"/>
  <c r="K44" i="4"/>
  <c r="G44" i="4"/>
  <c r="J44" i="4" s="1"/>
  <c r="F44" i="4"/>
  <c r="V43" i="4"/>
  <c r="S43" i="4"/>
  <c r="N43" i="4"/>
  <c r="J43" i="4"/>
  <c r="F43" i="4"/>
  <c r="V42" i="4"/>
  <c r="S42" i="4"/>
  <c r="L42" i="4"/>
  <c r="N42" i="4" s="1"/>
  <c r="J42" i="4"/>
  <c r="F42" i="4"/>
  <c r="V41" i="4"/>
  <c r="S41" i="4"/>
  <c r="L41" i="4"/>
  <c r="N41" i="4" s="1"/>
  <c r="J41" i="4"/>
  <c r="F41" i="4"/>
  <c r="V40" i="4"/>
  <c r="S40" i="4"/>
  <c r="N40" i="4"/>
  <c r="J40" i="4"/>
  <c r="F40" i="4"/>
  <c r="V39" i="4"/>
  <c r="S39" i="4"/>
  <c r="L39" i="4"/>
  <c r="N39" i="4" s="1"/>
  <c r="K39" i="4"/>
  <c r="J39" i="4"/>
  <c r="F39" i="4"/>
  <c r="V38" i="4"/>
  <c r="S38" i="4"/>
  <c r="N38" i="4"/>
  <c r="J38" i="4"/>
  <c r="F38" i="4"/>
  <c r="V37" i="4"/>
  <c r="S37" i="4"/>
  <c r="L37" i="4"/>
  <c r="N37" i="4" s="1"/>
  <c r="K37" i="4"/>
  <c r="J37" i="4"/>
  <c r="F37" i="4"/>
  <c r="V36" i="4"/>
  <c r="S36" i="4"/>
  <c r="N36" i="4"/>
  <c r="J36" i="4"/>
  <c r="F36" i="4"/>
  <c r="V35" i="4"/>
  <c r="S35" i="4"/>
  <c r="N35" i="4"/>
  <c r="J35" i="4"/>
  <c r="F35" i="4"/>
  <c r="V34" i="4"/>
  <c r="S34" i="4"/>
  <c r="L34" i="4"/>
  <c r="N34" i="4" s="1"/>
  <c r="K34" i="4"/>
  <c r="J34" i="4"/>
  <c r="F34" i="4"/>
  <c r="V33" i="4"/>
  <c r="S33" i="4"/>
  <c r="L33" i="4"/>
  <c r="N33" i="4" s="1"/>
  <c r="K33" i="4"/>
  <c r="J33" i="4"/>
  <c r="F33" i="4"/>
  <c r="V32" i="4"/>
  <c r="S32" i="4"/>
  <c r="L32" i="4"/>
  <c r="N32" i="4" s="1"/>
  <c r="K32" i="4"/>
  <c r="J32" i="4"/>
  <c r="F32" i="4"/>
  <c r="V31" i="4"/>
  <c r="S31" i="4"/>
  <c r="N31" i="4"/>
  <c r="K31" i="4"/>
  <c r="J31" i="4"/>
  <c r="F31" i="4"/>
  <c r="V30" i="4"/>
  <c r="S30" i="4"/>
  <c r="L30" i="4"/>
  <c r="N30" i="4" s="1"/>
  <c r="J30" i="4"/>
  <c r="F30" i="4"/>
  <c r="V29" i="4"/>
  <c r="S29" i="4"/>
  <c r="N29" i="4"/>
  <c r="J29" i="4"/>
  <c r="F29" i="4"/>
  <c r="V28" i="4"/>
  <c r="S28" i="4"/>
  <c r="L28" i="4"/>
  <c r="N28" i="4" s="1"/>
  <c r="J28" i="4"/>
  <c r="F28" i="4"/>
  <c r="V27" i="4"/>
  <c r="S27" i="4"/>
  <c r="L27" i="4"/>
  <c r="N27" i="4" s="1"/>
  <c r="K27" i="4"/>
  <c r="J27" i="4"/>
  <c r="F27" i="4"/>
  <c r="V26" i="4"/>
  <c r="S26" i="4"/>
  <c r="L26" i="4"/>
  <c r="N26" i="4" s="1"/>
  <c r="J26" i="4"/>
  <c r="F26" i="4"/>
  <c r="V25" i="4"/>
  <c r="S25" i="4"/>
  <c r="L25" i="4"/>
  <c r="N25" i="4" s="1"/>
  <c r="K25" i="4"/>
  <c r="J25" i="4"/>
  <c r="F25" i="4"/>
  <c r="V24" i="4"/>
  <c r="S24" i="4"/>
  <c r="L24" i="4"/>
  <c r="N24" i="4" s="1"/>
  <c r="K24" i="4"/>
  <c r="J24" i="4"/>
  <c r="F24" i="4"/>
  <c r="V23" i="4"/>
  <c r="S23" i="4"/>
  <c r="L23" i="4"/>
  <c r="N23" i="4" s="1"/>
  <c r="K23" i="4"/>
  <c r="J23" i="4"/>
  <c r="F23" i="4"/>
  <c r="V22" i="4"/>
  <c r="S22" i="4"/>
  <c r="L22" i="4"/>
  <c r="N22" i="4" s="1"/>
  <c r="K22" i="4"/>
  <c r="J22" i="4"/>
  <c r="F22" i="4"/>
  <c r="V21" i="4"/>
  <c r="S21" i="4"/>
  <c r="N21" i="4"/>
  <c r="K21" i="4"/>
  <c r="J21" i="4"/>
  <c r="F21" i="4"/>
  <c r="V20" i="4"/>
  <c r="S20" i="4"/>
  <c r="L20" i="4"/>
  <c r="N20" i="4" s="1"/>
  <c r="K20" i="4"/>
  <c r="J20" i="4"/>
  <c r="F20" i="4"/>
  <c r="V19" i="4"/>
  <c r="S19" i="4"/>
  <c r="N19" i="4"/>
  <c r="J19" i="4"/>
  <c r="F19" i="4"/>
  <c r="V18" i="4"/>
  <c r="S18" i="4"/>
  <c r="N18" i="4"/>
  <c r="J18" i="4"/>
  <c r="V17" i="4"/>
  <c r="S17" i="4"/>
  <c r="L17" i="4"/>
  <c r="N17" i="4" s="1"/>
  <c r="K17" i="4"/>
  <c r="J17" i="4"/>
  <c r="F17" i="4"/>
  <c r="V16" i="4"/>
  <c r="S16" i="4"/>
  <c r="L16" i="4"/>
  <c r="N16" i="4" s="1"/>
  <c r="K16" i="4"/>
  <c r="J16" i="4"/>
  <c r="F16" i="4"/>
  <c r="V15" i="4"/>
  <c r="S15" i="4"/>
  <c r="L15" i="4"/>
  <c r="N15" i="4" s="1"/>
  <c r="K15" i="4"/>
  <c r="J15" i="4"/>
  <c r="F15" i="4"/>
  <c r="V14" i="4"/>
  <c r="S14" i="4"/>
  <c r="N14" i="4"/>
  <c r="J14" i="4"/>
  <c r="F14" i="4"/>
  <c r="V13" i="4"/>
  <c r="S13" i="4"/>
  <c r="N13" i="4"/>
  <c r="J13" i="4"/>
  <c r="F13" i="4"/>
  <c r="V12" i="4"/>
  <c r="S12" i="4"/>
  <c r="L12" i="4"/>
  <c r="N12" i="4" s="1"/>
  <c r="J12" i="4"/>
  <c r="F12" i="4"/>
  <c r="V11" i="4"/>
  <c r="S11" i="4"/>
  <c r="N11" i="4"/>
  <c r="J11" i="4"/>
  <c r="V10" i="4"/>
  <c r="S10" i="4"/>
  <c r="L10" i="4"/>
  <c r="N10" i="4" s="1"/>
  <c r="K10" i="4"/>
  <c r="J10" i="4"/>
  <c r="F10" i="4"/>
  <c r="V9" i="4"/>
  <c r="S9" i="4"/>
  <c r="L9" i="4"/>
  <c r="N9" i="4" s="1"/>
  <c r="K9" i="4"/>
  <c r="J9" i="4"/>
  <c r="F9" i="4"/>
  <c r="V8" i="4"/>
  <c r="S8" i="4"/>
  <c r="L8" i="4"/>
  <c r="N8" i="4" s="1"/>
  <c r="K8" i="4"/>
  <c r="J8" i="4"/>
  <c r="F8" i="4"/>
  <c r="V7" i="4"/>
  <c r="S7" i="4"/>
  <c r="L7" i="4"/>
  <c r="N7" i="4" s="1"/>
  <c r="K7" i="4"/>
  <c r="J7" i="4"/>
  <c r="F7" i="4"/>
  <c r="V6" i="4"/>
  <c r="S6" i="4"/>
  <c r="L6" i="4"/>
  <c r="N6" i="4" s="1"/>
  <c r="K6" i="4"/>
  <c r="J6" i="4"/>
  <c r="F6" i="4"/>
  <c r="V4" i="4"/>
  <c r="S4" i="4"/>
  <c r="P4" i="4"/>
  <c r="F4" i="4"/>
  <c r="V163" i="3"/>
  <c r="S163" i="3"/>
  <c r="L163" i="3"/>
  <c r="N163" i="3" s="1"/>
  <c r="J163" i="3"/>
  <c r="F163" i="3"/>
  <c r="V162" i="3"/>
  <c r="S162" i="3"/>
  <c r="L162" i="3"/>
  <c r="N162" i="3" s="1"/>
  <c r="J162" i="3"/>
  <c r="F162" i="3"/>
  <c r="V161" i="3"/>
  <c r="S161" i="3"/>
  <c r="L161" i="3"/>
  <c r="N161" i="3" s="1"/>
  <c r="K161" i="3"/>
  <c r="J161" i="3"/>
  <c r="F161" i="3"/>
  <c r="V160" i="3"/>
  <c r="S160" i="3"/>
  <c r="N160" i="3"/>
  <c r="J160" i="3"/>
  <c r="F160" i="3"/>
  <c r="V159" i="3"/>
  <c r="S159" i="3"/>
  <c r="L159" i="3"/>
  <c r="N159" i="3" s="1"/>
  <c r="K159" i="3"/>
  <c r="J159" i="3"/>
  <c r="F159" i="3"/>
  <c r="V158" i="3"/>
  <c r="S158" i="3"/>
  <c r="N158" i="3"/>
  <c r="J158" i="3"/>
  <c r="F158" i="3"/>
  <c r="V157" i="3"/>
  <c r="S157" i="3"/>
  <c r="L157" i="3"/>
  <c r="N157" i="3" s="1"/>
  <c r="J157" i="3"/>
  <c r="F157" i="3"/>
  <c r="T156" i="3"/>
  <c r="V156" i="3" s="1"/>
  <c r="S156" i="3"/>
  <c r="L156" i="3"/>
  <c r="N156" i="3" s="1"/>
  <c r="K156" i="3"/>
  <c r="J156" i="3"/>
  <c r="F156" i="3"/>
  <c r="V155" i="3"/>
  <c r="S155" i="3"/>
  <c r="N155" i="3"/>
  <c r="J155" i="3"/>
  <c r="F155" i="3"/>
  <c r="V154" i="3"/>
  <c r="S154" i="3"/>
  <c r="L154" i="3"/>
  <c r="N154" i="3" s="1"/>
  <c r="K154" i="3"/>
  <c r="J154" i="3"/>
  <c r="F154" i="3"/>
  <c r="V153" i="3"/>
  <c r="S153" i="3"/>
  <c r="N153" i="3"/>
  <c r="J153" i="3"/>
  <c r="F153" i="3"/>
  <c r="V152" i="3"/>
  <c r="S152" i="3"/>
  <c r="L152" i="3"/>
  <c r="N152" i="3" s="1"/>
  <c r="K152" i="3"/>
  <c r="J152" i="3"/>
  <c r="F152" i="3"/>
  <c r="V151" i="3"/>
  <c r="S151" i="3"/>
  <c r="N151" i="3"/>
  <c r="J151" i="3"/>
  <c r="F151" i="3"/>
  <c r="V150" i="3"/>
  <c r="S150" i="3"/>
  <c r="N150" i="3"/>
  <c r="K150" i="3"/>
  <c r="J150" i="3"/>
  <c r="F150" i="3"/>
  <c r="V149" i="3"/>
  <c r="S149" i="3"/>
  <c r="L149" i="3"/>
  <c r="N149" i="3" s="1"/>
  <c r="K149" i="3"/>
  <c r="J149" i="3"/>
  <c r="F149" i="3"/>
  <c r="V148" i="3"/>
  <c r="S148" i="3"/>
  <c r="L148" i="3"/>
  <c r="N148" i="3" s="1"/>
  <c r="K148" i="3"/>
  <c r="J148" i="3"/>
  <c r="F148" i="3"/>
  <c r="V147" i="3"/>
  <c r="S147" i="3"/>
  <c r="L147" i="3"/>
  <c r="N147" i="3" s="1"/>
  <c r="K147" i="3"/>
  <c r="J147" i="3"/>
  <c r="F147" i="3"/>
  <c r="V146" i="3"/>
  <c r="S146" i="3"/>
  <c r="L146" i="3"/>
  <c r="N146" i="3" s="1"/>
  <c r="K146" i="3"/>
  <c r="J146" i="3"/>
  <c r="F146" i="3"/>
  <c r="V145" i="3"/>
  <c r="S145" i="3"/>
  <c r="N145" i="3"/>
  <c r="J145" i="3"/>
  <c r="F145" i="3"/>
  <c r="V144" i="3"/>
  <c r="S144" i="3"/>
  <c r="L144" i="3"/>
  <c r="N144" i="3" s="1"/>
  <c r="K144" i="3"/>
  <c r="J144" i="3"/>
  <c r="F144" i="3"/>
  <c r="V143" i="3"/>
  <c r="S143" i="3"/>
  <c r="N143" i="3"/>
  <c r="J143" i="3"/>
  <c r="F143" i="3"/>
  <c r="V142" i="3"/>
  <c r="S142" i="3"/>
  <c r="N142" i="3"/>
  <c r="K142" i="3"/>
  <c r="J142" i="3"/>
  <c r="F142" i="3"/>
  <c r="V141" i="3"/>
  <c r="S141" i="3"/>
  <c r="L141" i="3"/>
  <c r="N141" i="3" s="1"/>
  <c r="K141" i="3"/>
  <c r="J141" i="3"/>
  <c r="F141" i="3"/>
  <c r="V140" i="3"/>
  <c r="S140" i="3"/>
  <c r="N140" i="3"/>
  <c r="K140" i="3"/>
  <c r="J140" i="3"/>
  <c r="F140" i="3"/>
  <c r="T139" i="3"/>
  <c r="V139" i="3" s="1"/>
  <c r="S139" i="3"/>
  <c r="L139" i="3"/>
  <c r="N139" i="3" s="1"/>
  <c r="K139" i="3"/>
  <c r="J139" i="3"/>
  <c r="F139" i="3"/>
  <c r="V138" i="3"/>
  <c r="S138" i="3"/>
  <c r="N138" i="3"/>
  <c r="J138" i="3"/>
  <c r="F138" i="3"/>
  <c r="V137" i="3"/>
  <c r="S137" i="3"/>
  <c r="L137" i="3"/>
  <c r="N137" i="3" s="1"/>
  <c r="K137" i="3"/>
  <c r="J137" i="3"/>
  <c r="F137" i="3"/>
  <c r="V136" i="3"/>
  <c r="S136" i="3"/>
  <c r="N136" i="3"/>
  <c r="J136" i="3"/>
  <c r="F136" i="3"/>
  <c r="V135" i="3"/>
  <c r="S135" i="3"/>
  <c r="L135" i="3"/>
  <c r="N135" i="3" s="1"/>
  <c r="K135" i="3"/>
  <c r="J135" i="3"/>
  <c r="F135" i="3"/>
  <c r="V134" i="3"/>
  <c r="S134" i="3"/>
  <c r="N134" i="3"/>
  <c r="K134" i="3"/>
  <c r="J134" i="3"/>
  <c r="F134" i="3"/>
  <c r="V133" i="3"/>
  <c r="S133" i="3"/>
  <c r="L133" i="3"/>
  <c r="N133" i="3" s="1"/>
  <c r="J133" i="3"/>
  <c r="F133" i="3"/>
  <c r="V132" i="3"/>
  <c r="S132" i="3"/>
  <c r="L132" i="3"/>
  <c r="N132" i="3" s="1"/>
  <c r="K132" i="3"/>
  <c r="J132" i="3"/>
  <c r="F132" i="3"/>
  <c r="V131" i="3"/>
  <c r="S131" i="3"/>
  <c r="L131" i="3"/>
  <c r="N131" i="3" s="1"/>
  <c r="K131" i="3"/>
  <c r="J131" i="3"/>
  <c r="F131" i="3"/>
  <c r="V130" i="3"/>
  <c r="S130" i="3"/>
  <c r="N130" i="3"/>
  <c r="J130" i="3"/>
  <c r="F130" i="3"/>
  <c r="V129" i="3"/>
  <c r="S129" i="3"/>
  <c r="L129" i="3"/>
  <c r="N129" i="3" s="1"/>
  <c r="K129" i="3"/>
  <c r="J129" i="3"/>
  <c r="F129" i="3"/>
  <c r="V128" i="3"/>
  <c r="S128" i="3"/>
  <c r="L128" i="3"/>
  <c r="N128" i="3" s="1"/>
  <c r="K128" i="3"/>
  <c r="J128" i="3"/>
  <c r="F128" i="3"/>
  <c r="V127" i="3"/>
  <c r="S127" i="3"/>
  <c r="L127" i="3"/>
  <c r="N127" i="3" s="1"/>
  <c r="K127" i="3"/>
  <c r="J127" i="3"/>
  <c r="F127" i="3"/>
  <c r="V126" i="3"/>
  <c r="S126" i="3"/>
  <c r="L126" i="3"/>
  <c r="N126" i="3" s="1"/>
  <c r="K126" i="3"/>
  <c r="J126" i="3"/>
  <c r="F126" i="3"/>
  <c r="V125" i="3"/>
  <c r="S125" i="3"/>
  <c r="L125" i="3"/>
  <c r="N125" i="3" s="1"/>
  <c r="K125" i="3"/>
  <c r="J125" i="3"/>
  <c r="F125" i="3"/>
  <c r="V124" i="3"/>
  <c r="S124" i="3"/>
  <c r="L124" i="3"/>
  <c r="N124" i="3" s="1"/>
  <c r="K124" i="3"/>
  <c r="J124" i="3"/>
  <c r="F124" i="3"/>
  <c r="V123" i="3"/>
  <c r="S123" i="3"/>
  <c r="N123" i="3"/>
  <c r="J123" i="3"/>
  <c r="F123" i="3"/>
  <c r="V122" i="3"/>
  <c r="S122" i="3"/>
  <c r="N122" i="3"/>
  <c r="J122" i="3"/>
  <c r="F122" i="3"/>
  <c r="V121" i="3"/>
  <c r="S121" i="3"/>
  <c r="N121" i="3"/>
  <c r="J121" i="3"/>
  <c r="F121" i="3"/>
  <c r="V120" i="3"/>
  <c r="S120" i="3"/>
  <c r="N120" i="3"/>
  <c r="J120" i="3"/>
  <c r="F120" i="3"/>
  <c r="V119" i="3"/>
  <c r="S119" i="3"/>
  <c r="N119" i="3"/>
  <c r="J119" i="3"/>
  <c r="F119" i="3"/>
  <c r="V118" i="3"/>
  <c r="S118" i="3"/>
  <c r="N118" i="3"/>
  <c r="J118" i="3"/>
  <c r="F118" i="3"/>
  <c r="V117" i="3"/>
  <c r="S117" i="3"/>
  <c r="L117" i="3"/>
  <c r="N117" i="3" s="1"/>
  <c r="K117" i="3"/>
  <c r="J117" i="3"/>
  <c r="F117" i="3"/>
  <c r="V116" i="3"/>
  <c r="S116" i="3"/>
  <c r="L116" i="3"/>
  <c r="N116" i="3" s="1"/>
  <c r="K116" i="3"/>
  <c r="J116" i="3"/>
  <c r="F116" i="3"/>
  <c r="V115" i="3"/>
  <c r="S115" i="3"/>
  <c r="L115" i="3"/>
  <c r="N115" i="3" s="1"/>
  <c r="K115" i="3"/>
  <c r="J115" i="3"/>
  <c r="F115" i="3"/>
  <c r="V114" i="3"/>
  <c r="S114" i="3"/>
  <c r="N114" i="3"/>
  <c r="K114" i="3"/>
  <c r="J114" i="3"/>
  <c r="F114" i="3"/>
  <c r="V113" i="3"/>
  <c r="S113" i="3"/>
  <c r="L113" i="3"/>
  <c r="N113" i="3" s="1"/>
  <c r="K113" i="3"/>
  <c r="J113" i="3"/>
  <c r="F113" i="3"/>
  <c r="V112" i="3"/>
  <c r="S112" i="3"/>
  <c r="L112" i="3"/>
  <c r="N112" i="3" s="1"/>
  <c r="K112" i="3"/>
  <c r="J112" i="3"/>
  <c r="F112" i="3"/>
  <c r="V111" i="3"/>
  <c r="S111" i="3"/>
  <c r="N111" i="3"/>
  <c r="J111" i="3"/>
  <c r="F111" i="3"/>
  <c r="V110" i="3"/>
  <c r="S110" i="3"/>
  <c r="L110" i="3"/>
  <c r="N110" i="3" s="1"/>
  <c r="K110" i="3"/>
  <c r="J110" i="3"/>
  <c r="F110" i="3"/>
  <c r="V109" i="3"/>
  <c r="S109" i="3"/>
  <c r="N109" i="3"/>
  <c r="J109" i="3"/>
  <c r="F109" i="3"/>
  <c r="V108" i="3"/>
  <c r="S108" i="3"/>
  <c r="N108" i="3"/>
  <c r="J108" i="3"/>
  <c r="F108" i="3"/>
  <c r="V107" i="3"/>
  <c r="S107" i="3"/>
  <c r="L107" i="3"/>
  <c r="N107" i="3" s="1"/>
  <c r="K107" i="3"/>
  <c r="J107" i="3"/>
  <c r="F107" i="3"/>
  <c r="V106" i="3"/>
  <c r="S106" i="3"/>
  <c r="N106" i="3"/>
  <c r="J106" i="3"/>
  <c r="F106" i="3"/>
  <c r="V105" i="3"/>
  <c r="S105" i="3"/>
  <c r="N105" i="3"/>
  <c r="J105" i="3"/>
  <c r="F105" i="3"/>
  <c r="V104" i="3"/>
  <c r="S104" i="3"/>
  <c r="N104" i="3"/>
  <c r="J104" i="3"/>
  <c r="F104" i="3"/>
  <c r="V103" i="3"/>
  <c r="S103" i="3"/>
  <c r="L103" i="3"/>
  <c r="N103" i="3" s="1"/>
  <c r="K103" i="3"/>
  <c r="J103" i="3"/>
  <c r="F103" i="3"/>
  <c r="V102" i="3"/>
  <c r="S102" i="3"/>
  <c r="L102" i="3"/>
  <c r="N102" i="3" s="1"/>
  <c r="K102" i="3"/>
  <c r="J102" i="3"/>
  <c r="F102" i="3"/>
  <c r="V101" i="3"/>
  <c r="S101" i="3"/>
  <c r="L101" i="3"/>
  <c r="N101" i="3" s="1"/>
  <c r="K101" i="3"/>
  <c r="J101" i="3"/>
  <c r="F101" i="3"/>
  <c r="V100" i="3"/>
  <c r="S100" i="3"/>
  <c r="N100" i="3"/>
  <c r="K100" i="3"/>
  <c r="J100" i="3"/>
  <c r="F100" i="3"/>
  <c r="V99" i="3"/>
  <c r="S99" i="3"/>
  <c r="N99" i="3"/>
  <c r="J99" i="3"/>
  <c r="F99" i="3"/>
  <c r="V98" i="3"/>
  <c r="S98" i="3"/>
  <c r="L98" i="3"/>
  <c r="N98" i="3" s="1"/>
  <c r="K98" i="3"/>
  <c r="J98" i="3"/>
  <c r="F98" i="3"/>
  <c r="V97" i="3"/>
  <c r="S97" i="3"/>
  <c r="N97" i="3"/>
  <c r="J97" i="3"/>
  <c r="F97" i="3"/>
  <c r="V96" i="3"/>
  <c r="S96" i="3"/>
  <c r="N96" i="3"/>
  <c r="J96" i="3"/>
  <c r="F96" i="3"/>
  <c r="V95" i="3"/>
  <c r="S95" i="3"/>
  <c r="N95" i="3"/>
  <c r="J95" i="3"/>
  <c r="F95" i="3"/>
  <c r="V94" i="3"/>
  <c r="S94" i="3"/>
  <c r="N94" i="3"/>
  <c r="J94" i="3"/>
  <c r="F94" i="3"/>
  <c r="V93" i="3"/>
  <c r="S93" i="3"/>
  <c r="N93" i="3"/>
  <c r="J93" i="3"/>
  <c r="F93" i="3"/>
  <c r="V92" i="3"/>
  <c r="S92" i="3"/>
  <c r="L92" i="3"/>
  <c r="N92" i="3" s="1"/>
  <c r="K92" i="3"/>
  <c r="J92" i="3"/>
  <c r="F92" i="3"/>
  <c r="V91" i="3"/>
  <c r="S91" i="3"/>
  <c r="N91" i="3"/>
  <c r="J91" i="3"/>
  <c r="F91" i="3"/>
  <c r="V90" i="3"/>
  <c r="S90" i="3"/>
  <c r="L90" i="3"/>
  <c r="N90" i="3" s="1"/>
  <c r="K90" i="3"/>
  <c r="J90" i="3"/>
  <c r="F90" i="3"/>
  <c r="V89" i="3"/>
  <c r="S89" i="3"/>
  <c r="N89" i="3"/>
  <c r="J89" i="3"/>
  <c r="F89" i="3"/>
  <c r="V88" i="3"/>
  <c r="S88" i="3"/>
  <c r="N88" i="3"/>
  <c r="J88" i="3"/>
  <c r="F88" i="3"/>
  <c r="V87" i="3"/>
  <c r="S87" i="3"/>
  <c r="N87" i="3"/>
  <c r="J87" i="3"/>
  <c r="F87" i="3"/>
  <c r="V86" i="3"/>
  <c r="S86" i="3"/>
  <c r="N86" i="3"/>
  <c r="J86" i="3"/>
  <c r="F86" i="3"/>
  <c r="V85" i="3"/>
  <c r="S85" i="3"/>
  <c r="L85" i="3"/>
  <c r="N85" i="3" s="1"/>
  <c r="K85" i="3"/>
  <c r="J85" i="3"/>
  <c r="F85" i="3"/>
  <c r="V84" i="3"/>
  <c r="S84" i="3"/>
  <c r="L84" i="3"/>
  <c r="N84" i="3" s="1"/>
  <c r="K84" i="3"/>
  <c r="J84" i="3"/>
  <c r="F84" i="3"/>
  <c r="V83" i="3"/>
  <c r="S83" i="3"/>
  <c r="L83" i="3"/>
  <c r="N83" i="3" s="1"/>
  <c r="K83" i="3"/>
  <c r="J83" i="3"/>
  <c r="F83" i="3"/>
  <c r="V82" i="3"/>
  <c r="S82" i="3"/>
  <c r="L82" i="3"/>
  <c r="N82" i="3" s="1"/>
  <c r="K82" i="3"/>
  <c r="J82" i="3"/>
  <c r="F82" i="3"/>
  <c r="V81" i="3"/>
  <c r="S81" i="3"/>
  <c r="L81" i="3"/>
  <c r="N81" i="3" s="1"/>
  <c r="K81" i="3"/>
  <c r="J81" i="3"/>
  <c r="F81" i="3"/>
  <c r="V80" i="3"/>
  <c r="S80" i="3"/>
  <c r="L80" i="3"/>
  <c r="N80" i="3" s="1"/>
  <c r="K80" i="3"/>
  <c r="J80" i="3"/>
  <c r="F80" i="3"/>
  <c r="V79" i="3"/>
  <c r="S79" i="3"/>
  <c r="N79" i="3"/>
  <c r="J79" i="3"/>
  <c r="F79" i="3"/>
  <c r="V78" i="3"/>
  <c r="S78" i="3"/>
  <c r="N78" i="3"/>
  <c r="J78" i="3"/>
  <c r="F78" i="3"/>
  <c r="V77" i="3"/>
  <c r="S77" i="3"/>
  <c r="N77" i="3"/>
  <c r="J77" i="3"/>
  <c r="F77" i="3"/>
  <c r="V76" i="3"/>
  <c r="S76" i="3"/>
  <c r="N76" i="3"/>
  <c r="J76" i="3"/>
  <c r="F76" i="3"/>
  <c r="V75" i="3"/>
  <c r="S75" i="3"/>
  <c r="N75" i="3"/>
  <c r="J75" i="3"/>
  <c r="F75" i="3"/>
  <c r="V74" i="3"/>
  <c r="S74" i="3"/>
  <c r="N74" i="3"/>
  <c r="J74" i="3"/>
  <c r="F74" i="3"/>
  <c r="V73" i="3"/>
  <c r="S73" i="3"/>
  <c r="L73" i="3"/>
  <c r="N73" i="3" s="1"/>
  <c r="K73" i="3"/>
  <c r="J73" i="3"/>
  <c r="F73" i="3"/>
  <c r="V72" i="3"/>
  <c r="S72" i="3"/>
  <c r="L72" i="3"/>
  <c r="N72" i="3" s="1"/>
  <c r="J72" i="3"/>
  <c r="F72" i="3"/>
  <c r="V71" i="3"/>
  <c r="S71" i="3"/>
  <c r="L71" i="3"/>
  <c r="N71" i="3" s="1"/>
  <c r="K71" i="3"/>
  <c r="J71" i="3"/>
  <c r="F71" i="3"/>
  <c r="V70" i="3"/>
  <c r="S70" i="3"/>
  <c r="N70" i="3"/>
  <c r="J70" i="3"/>
  <c r="F70" i="3"/>
  <c r="V69" i="3"/>
  <c r="S69" i="3"/>
  <c r="N69" i="3"/>
  <c r="J69" i="3"/>
  <c r="F69" i="3"/>
  <c r="V68" i="3"/>
  <c r="S68" i="3"/>
  <c r="L68" i="3"/>
  <c r="N68" i="3" s="1"/>
  <c r="K68" i="3"/>
  <c r="J68" i="3"/>
  <c r="F68" i="3"/>
  <c r="V67" i="3"/>
  <c r="S67" i="3"/>
  <c r="N67" i="3"/>
  <c r="J67" i="3"/>
  <c r="F67" i="3"/>
  <c r="V66" i="3"/>
  <c r="S66" i="3"/>
  <c r="N66" i="3"/>
  <c r="J66" i="3"/>
  <c r="F66" i="3"/>
  <c r="V65" i="3"/>
  <c r="S65" i="3"/>
  <c r="L65" i="3"/>
  <c r="N65" i="3" s="1"/>
  <c r="K65" i="3"/>
  <c r="J65" i="3"/>
  <c r="F65" i="3"/>
  <c r="V64" i="3"/>
  <c r="S64" i="3"/>
  <c r="N64" i="3"/>
  <c r="J64" i="3"/>
  <c r="F64" i="3"/>
  <c r="V63" i="3"/>
  <c r="S63" i="3"/>
  <c r="N63" i="3"/>
  <c r="K63" i="3"/>
  <c r="J63" i="3"/>
  <c r="F63" i="3"/>
  <c r="V62" i="3"/>
  <c r="S62" i="3"/>
  <c r="N62" i="3"/>
  <c r="K62" i="3"/>
  <c r="J62" i="3"/>
  <c r="F62" i="3"/>
  <c r="V61" i="3"/>
  <c r="S61" i="3"/>
  <c r="N61" i="3"/>
  <c r="J61" i="3"/>
  <c r="F61" i="3"/>
  <c r="V60" i="3"/>
  <c r="S60" i="3"/>
  <c r="L60" i="3"/>
  <c r="N60" i="3" s="1"/>
  <c r="J60" i="3"/>
  <c r="F60" i="3"/>
  <c r="V59" i="3"/>
  <c r="S59" i="3"/>
  <c r="L59" i="3"/>
  <c r="N59" i="3" s="1"/>
  <c r="K59" i="3"/>
  <c r="G59" i="3"/>
  <c r="J59" i="3" s="1"/>
  <c r="F59" i="3"/>
  <c r="V58" i="3"/>
  <c r="S58" i="3"/>
  <c r="L58" i="3"/>
  <c r="N58" i="3" s="1"/>
  <c r="K58" i="3"/>
  <c r="J58" i="3"/>
  <c r="F58" i="3"/>
  <c r="V57" i="3"/>
  <c r="S57" i="3"/>
  <c r="L57" i="3"/>
  <c r="N57" i="3" s="1"/>
  <c r="K57" i="3"/>
  <c r="G57" i="3"/>
  <c r="J57" i="3" s="1"/>
  <c r="F57" i="3"/>
  <c r="V56" i="3"/>
  <c r="S56" i="3"/>
  <c r="N56" i="3"/>
  <c r="J56" i="3"/>
  <c r="F56" i="3"/>
  <c r="V55" i="3"/>
  <c r="S55" i="3"/>
  <c r="N55" i="3"/>
  <c r="K55" i="3"/>
  <c r="J55" i="3"/>
  <c r="F55" i="3"/>
  <c r="V54" i="3"/>
  <c r="S54" i="3"/>
  <c r="N54" i="3"/>
  <c r="K54" i="3"/>
  <c r="J54" i="3"/>
  <c r="F54" i="3"/>
  <c r="V53" i="3"/>
  <c r="S53" i="3"/>
  <c r="L53" i="3"/>
  <c r="N53" i="3" s="1"/>
  <c r="J53" i="3"/>
  <c r="F53" i="3"/>
  <c r="V52" i="3"/>
  <c r="S52" i="3"/>
  <c r="L52" i="3"/>
  <c r="N52" i="3" s="1"/>
  <c r="K52" i="3"/>
  <c r="J52" i="3"/>
  <c r="F52" i="3"/>
  <c r="V51" i="3"/>
  <c r="S51" i="3"/>
  <c r="L51" i="3"/>
  <c r="N51" i="3" s="1"/>
  <c r="J51" i="3"/>
  <c r="F51" i="3"/>
  <c r="V50" i="3"/>
  <c r="S50" i="3"/>
  <c r="L50" i="3"/>
  <c r="N50" i="3" s="1"/>
  <c r="G50" i="3"/>
  <c r="J50" i="3" s="1"/>
  <c r="F50" i="3"/>
  <c r="V49" i="3"/>
  <c r="S49" i="3"/>
  <c r="N49" i="3"/>
  <c r="J49" i="3"/>
  <c r="F49" i="3"/>
  <c r="V48" i="3"/>
  <c r="S48" i="3"/>
  <c r="N48" i="3"/>
  <c r="J48" i="3"/>
  <c r="F48" i="3"/>
  <c r="V47" i="3"/>
  <c r="S47" i="3"/>
  <c r="N47" i="3"/>
  <c r="K47" i="3"/>
  <c r="J47" i="3"/>
  <c r="F47" i="3"/>
  <c r="V46" i="3"/>
  <c r="S46" i="3"/>
  <c r="L46" i="3"/>
  <c r="N46" i="3" s="1"/>
  <c r="K46" i="3"/>
  <c r="J46" i="3"/>
  <c r="F46" i="3"/>
  <c r="V45" i="3"/>
  <c r="S45" i="3"/>
  <c r="N45" i="3"/>
  <c r="J45" i="3"/>
  <c r="F45" i="3"/>
  <c r="V44" i="3"/>
  <c r="S44" i="3"/>
  <c r="L44" i="3"/>
  <c r="N44" i="3" s="1"/>
  <c r="K44" i="3"/>
  <c r="G44" i="3"/>
  <c r="J44" i="3" s="1"/>
  <c r="F44" i="3"/>
  <c r="V43" i="3"/>
  <c r="S43" i="3"/>
  <c r="N43" i="3"/>
  <c r="J43" i="3"/>
  <c r="F43" i="3"/>
  <c r="V42" i="3"/>
  <c r="S42" i="3"/>
  <c r="L42" i="3"/>
  <c r="N42" i="3" s="1"/>
  <c r="J42" i="3"/>
  <c r="F42" i="3"/>
  <c r="V41" i="3"/>
  <c r="S41" i="3"/>
  <c r="L41" i="3"/>
  <c r="N41" i="3" s="1"/>
  <c r="J41" i="3"/>
  <c r="F41" i="3"/>
  <c r="V40" i="3"/>
  <c r="S40" i="3"/>
  <c r="L40" i="3"/>
  <c r="N40" i="3" s="1"/>
  <c r="J40" i="3"/>
  <c r="F40" i="3"/>
  <c r="V39" i="3"/>
  <c r="S39" i="3"/>
  <c r="N39" i="3"/>
  <c r="K39" i="3"/>
  <c r="J39" i="3"/>
  <c r="F39" i="3"/>
  <c r="V38" i="3"/>
  <c r="S38" i="3"/>
  <c r="N38" i="3"/>
  <c r="J38" i="3"/>
  <c r="F38" i="3"/>
  <c r="V37" i="3"/>
  <c r="S37" i="3"/>
  <c r="L37" i="3"/>
  <c r="N37" i="3" s="1"/>
  <c r="K37" i="3"/>
  <c r="J37" i="3"/>
  <c r="F37" i="3"/>
  <c r="V36" i="3"/>
  <c r="S36" i="3"/>
  <c r="N36" i="3"/>
  <c r="J36" i="3"/>
  <c r="F36" i="3"/>
  <c r="V35" i="3"/>
  <c r="S35" i="3"/>
  <c r="N35" i="3"/>
  <c r="J35" i="3"/>
  <c r="F35" i="3"/>
  <c r="V34" i="3"/>
  <c r="S34" i="3"/>
  <c r="L34" i="3"/>
  <c r="N34" i="3" s="1"/>
  <c r="K34" i="3"/>
  <c r="J34" i="3"/>
  <c r="F34" i="3"/>
  <c r="V33" i="3"/>
  <c r="S33" i="3"/>
  <c r="L33" i="3"/>
  <c r="N33" i="3" s="1"/>
  <c r="K33" i="3"/>
  <c r="J33" i="3"/>
  <c r="F33" i="3"/>
  <c r="V32" i="3"/>
  <c r="S32" i="3"/>
  <c r="L32" i="3"/>
  <c r="N32" i="3" s="1"/>
  <c r="K32" i="3"/>
  <c r="J32" i="3"/>
  <c r="F32" i="3"/>
  <c r="V31" i="3"/>
  <c r="S31" i="3"/>
  <c r="N31" i="3"/>
  <c r="K31" i="3"/>
  <c r="J31" i="3"/>
  <c r="F31" i="3"/>
  <c r="V30" i="3"/>
  <c r="S30" i="3"/>
  <c r="L30" i="3"/>
  <c r="N30" i="3" s="1"/>
  <c r="J30" i="3"/>
  <c r="F30" i="3"/>
  <c r="V29" i="3"/>
  <c r="S29" i="3"/>
  <c r="N29" i="3"/>
  <c r="J29" i="3"/>
  <c r="F29" i="3"/>
  <c r="V28" i="3"/>
  <c r="S28" i="3"/>
  <c r="L28" i="3"/>
  <c r="N28" i="3" s="1"/>
  <c r="J28" i="3"/>
  <c r="F28" i="3"/>
  <c r="V27" i="3"/>
  <c r="S27" i="3"/>
  <c r="L27" i="3"/>
  <c r="N27" i="3" s="1"/>
  <c r="K27" i="3"/>
  <c r="J27" i="3"/>
  <c r="F27" i="3"/>
  <c r="V26" i="3"/>
  <c r="S26" i="3"/>
  <c r="L26" i="3"/>
  <c r="N26" i="3" s="1"/>
  <c r="J26" i="3"/>
  <c r="F26" i="3"/>
  <c r="V25" i="3"/>
  <c r="S25" i="3"/>
  <c r="L25" i="3"/>
  <c r="N25" i="3" s="1"/>
  <c r="K25" i="3"/>
  <c r="J25" i="3"/>
  <c r="F25" i="3"/>
  <c r="V24" i="3"/>
  <c r="S24" i="3"/>
  <c r="L24" i="3"/>
  <c r="N24" i="3" s="1"/>
  <c r="K24" i="3"/>
  <c r="J24" i="3"/>
  <c r="F24" i="3"/>
  <c r="V23" i="3"/>
  <c r="S23" i="3"/>
  <c r="L23" i="3"/>
  <c r="N23" i="3" s="1"/>
  <c r="K23" i="3"/>
  <c r="J23" i="3"/>
  <c r="F23" i="3"/>
  <c r="V22" i="3"/>
  <c r="S22" i="3"/>
  <c r="L22" i="3"/>
  <c r="N22" i="3" s="1"/>
  <c r="K22" i="3"/>
  <c r="J22" i="3"/>
  <c r="F22" i="3"/>
  <c r="V21" i="3"/>
  <c r="S21" i="3"/>
  <c r="L21" i="3"/>
  <c r="N21" i="3" s="1"/>
  <c r="K21" i="3"/>
  <c r="J21" i="3"/>
  <c r="F21" i="3"/>
  <c r="V20" i="3"/>
  <c r="S20" i="3"/>
  <c r="L20" i="3"/>
  <c r="N20" i="3" s="1"/>
  <c r="K20" i="3"/>
  <c r="J20" i="3"/>
  <c r="F20" i="3"/>
  <c r="V19" i="3"/>
  <c r="S19" i="3"/>
  <c r="N19" i="3"/>
  <c r="J19" i="3"/>
  <c r="F19" i="3"/>
  <c r="V18" i="3"/>
  <c r="S18" i="3"/>
  <c r="N18" i="3"/>
  <c r="J18" i="3"/>
  <c r="V17" i="3"/>
  <c r="S17" i="3"/>
  <c r="L17" i="3"/>
  <c r="N17" i="3" s="1"/>
  <c r="K17" i="3"/>
  <c r="J17" i="3"/>
  <c r="F17" i="3"/>
  <c r="V16" i="3"/>
  <c r="S16" i="3"/>
  <c r="L16" i="3"/>
  <c r="N16" i="3" s="1"/>
  <c r="J16" i="3"/>
  <c r="F16" i="3"/>
  <c r="V15" i="3"/>
  <c r="S15" i="3"/>
  <c r="L15" i="3"/>
  <c r="N15" i="3" s="1"/>
  <c r="J15" i="3"/>
  <c r="F15" i="3"/>
  <c r="V14" i="3"/>
  <c r="S14" i="3"/>
  <c r="N14" i="3"/>
  <c r="J14" i="3"/>
  <c r="F14" i="3"/>
  <c r="V13" i="3"/>
  <c r="S13" i="3"/>
  <c r="N13" i="3"/>
  <c r="J13" i="3"/>
  <c r="F13" i="3"/>
  <c r="V12" i="3"/>
  <c r="S12" i="3"/>
  <c r="L12" i="3"/>
  <c r="N12" i="3" s="1"/>
  <c r="J12" i="3"/>
  <c r="F12" i="3"/>
  <c r="V11" i="3"/>
  <c r="S11" i="3"/>
  <c r="N11" i="3"/>
  <c r="J11" i="3"/>
  <c r="V10" i="3"/>
  <c r="S10" i="3"/>
  <c r="L10" i="3"/>
  <c r="N10" i="3" s="1"/>
  <c r="K10" i="3"/>
  <c r="J10" i="3"/>
  <c r="F10" i="3"/>
  <c r="V9" i="3"/>
  <c r="S9" i="3"/>
  <c r="L9" i="3"/>
  <c r="N9" i="3" s="1"/>
  <c r="K9" i="3"/>
  <c r="J9" i="3"/>
  <c r="F9" i="3"/>
  <c r="V8" i="3"/>
  <c r="S8" i="3"/>
  <c r="L8" i="3"/>
  <c r="N8" i="3" s="1"/>
  <c r="K8" i="3"/>
  <c r="J8" i="3"/>
  <c r="F8" i="3"/>
  <c r="V7" i="3"/>
  <c r="S7" i="3"/>
  <c r="L7" i="3"/>
  <c r="N7" i="3" s="1"/>
  <c r="K7" i="3"/>
  <c r="J7" i="3"/>
  <c r="F7" i="3"/>
  <c r="V6" i="3"/>
  <c r="S6" i="3"/>
  <c r="L6" i="3"/>
  <c r="K6" i="3"/>
  <c r="F6" i="3"/>
  <c r="V4" i="3"/>
  <c r="S4" i="3"/>
  <c r="P4" i="3"/>
  <c r="F4" i="3"/>
  <c r="O44" i="3" l="1"/>
  <c r="P44" i="3" s="1"/>
  <c r="O50" i="3"/>
  <c r="P50" i="3" s="1"/>
  <c r="O57" i="3"/>
  <c r="P57" i="3" s="1"/>
  <c r="O59" i="3"/>
  <c r="P59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5" i="3"/>
  <c r="P45" i="3" s="1"/>
  <c r="O46" i="3"/>
  <c r="P46" i="3" s="1"/>
  <c r="O47" i="3"/>
  <c r="P47" i="3" s="1"/>
  <c r="O48" i="3"/>
  <c r="P48" i="3" s="1"/>
  <c r="O49" i="3"/>
  <c r="P49" i="3" s="1"/>
  <c r="O51" i="3"/>
  <c r="P51" i="3" s="1"/>
  <c r="O52" i="3"/>
  <c r="P52" i="3" s="1"/>
  <c r="O53" i="3"/>
  <c r="P53" i="3" s="1"/>
  <c r="O54" i="3"/>
  <c r="P54" i="3" s="1"/>
  <c r="O55" i="3"/>
  <c r="P55" i="3" s="1"/>
  <c r="O56" i="3"/>
  <c r="P56" i="3" s="1"/>
  <c r="O58" i="3"/>
  <c r="P58" i="3" s="1"/>
  <c r="O60" i="3"/>
  <c r="P60" i="3" s="1"/>
  <c r="O61" i="3"/>
  <c r="P61" i="3" s="1"/>
  <c r="O62" i="3"/>
  <c r="P62" i="3" s="1"/>
  <c r="O63" i="3"/>
  <c r="P63" i="3" s="1"/>
  <c r="O64" i="3"/>
  <c r="P64" i="3" s="1"/>
  <c r="O65" i="3"/>
  <c r="P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 s="1"/>
  <c r="O73" i="3"/>
  <c r="P73" i="3" s="1"/>
  <c r="O74" i="3"/>
  <c r="P74" i="3" s="1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 s="1"/>
  <c r="O81" i="3"/>
  <c r="P81" i="3" s="1"/>
  <c r="O82" i="3"/>
  <c r="P82" i="3" s="1"/>
  <c r="O83" i="3"/>
  <c r="P83" i="3" s="1"/>
  <c r="O84" i="3"/>
  <c r="P84" i="3" s="1"/>
  <c r="O85" i="3"/>
  <c r="P85" i="3" s="1"/>
  <c r="O86" i="3"/>
  <c r="P86" i="3" s="1"/>
  <c r="O87" i="3"/>
  <c r="P87" i="3" s="1"/>
  <c r="O88" i="3"/>
  <c r="P88" i="3" s="1"/>
  <c r="O89" i="3"/>
  <c r="P89" i="3" s="1"/>
  <c r="O90" i="3"/>
  <c r="P90" i="3" s="1"/>
  <c r="O91" i="3"/>
  <c r="P91" i="3" s="1"/>
  <c r="O92" i="3"/>
  <c r="P92" i="3" s="1"/>
  <c r="O93" i="3"/>
  <c r="P93" i="3" s="1"/>
  <c r="O94" i="3"/>
  <c r="P94" i="3" s="1"/>
  <c r="O95" i="3"/>
  <c r="P95" i="3" s="1"/>
  <c r="O96" i="3"/>
  <c r="P96" i="3" s="1"/>
  <c r="O97" i="3"/>
  <c r="P97" i="3" s="1"/>
  <c r="O98" i="3"/>
  <c r="P98" i="3" s="1"/>
  <c r="O99" i="3"/>
  <c r="P99" i="3" s="1"/>
  <c r="O100" i="3"/>
  <c r="P100" i="3" s="1"/>
  <c r="O101" i="3"/>
  <c r="P101" i="3" s="1"/>
  <c r="O102" i="3"/>
  <c r="P102" i="3" s="1"/>
  <c r="O103" i="3"/>
  <c r="P103" i="3" s="1"/>
  <c r="O104" i="3"/>
  <c r="P104" i="3" s="1"/>
  <c r="O105" i="3"/>
  <c r="P105" i="3" s="1"/>
  <c r="O106" i="3"/>
  <c r="P106" i="3" s="1"/>
  <c r="O107" i="3"/>
  <c r="P107" i="3" s="1"/>
  <c r="O108" i="3"/>
  <c r="P108" i="3" s="1"/>
  <c r="O109" i="3"/>
  <c r="P109" i="3" s="1"/>
  <c r="O110" i="3"/>
  <c r="P110" i="3" s="1"/>
  <c r="O111" i="3"/>
  <c r="P111" i="3" s="1"/>
  <c r="O112" i="3"/>
  <c r="P112" i="3" s="1"/>
  <c r="O113" i="3"/>
  <c r="P113" i="3" s="1"/>
  <c r="O114" i="3"/>
  <c r="P114" i="3" s="1"/>
  <c r="O115" i="3"/>
  <c r="P115" i="3" s="1"/>
  <c r="O116" i="3"/>
  <c r="P116" i="3" s="1"/>
  <c r="O117" i="3"/>
  <c r="P117" i="3" s="1"/>
  <c r="O118" i="3"/>
  <c r="P118" i="3" s="1"/>
  <c r="O119" i="3"/>
  <c r="P119" i="3" s="1"/>
  <c r="O120" i="3"/>
  <c r="P120" i="3" s="1"/>
  <c r="O121" i="3"/>
  <c r="P121" i="3" s="1"/>
  <c r="O122" i="3"/>
  <c r="P122" i="3" s="1"/>
  <c r="O123" i="3"/>
  <c r="P123" i="3" s="1"/>
  <c r="O124" i="3"/>
  <c r="P124" i="3" s="1"/>
  <c r="O125" i="3"/>
  <c r="P125" i="3" s="1"/>
  <c r="O126" i="3"/>
  <c r="P126" i="3" s="1"/>
  <c r="O127" i="3"/>
  <c r="P127" i="3" s="1"/>
  <c r="O128" i="3"/>
  <c r="P128" i="3" s="1"/>
  <c r="O44" i="4"/>
  <c r="P44" i="4" s="1"/>
  <c r="O50" i="4"/>
  <c r="P50" i="4" s="1"/>
  <c r="O57" i="4"/>
  <c r="P57" i="4" s="1"/>
  <c r="O59" i="4"/>
  <c r="P59" i="4" s="1"/>
  <c r="O129" i="3"/>
  <c r="P129" i="3" s="1"/>
  <c r="O130" i="3"/>
  <c r="P130" i="3" s="1"/>
  <c r="O131" i="3"/>
  <c r="P131" i="3" s="1"/>
  <c r="O132" i="3"/>
  <c r="P132" i="3" s="1"/>
  <c r="O133" i="3"/>
  <c r="P133" i="3" s="1"/>
  <c r="O134" i="3"/>
  <c r="P134" i="3" s="1"/>
  <c r="O135" i="3"/>
  <c r="P135" i="3" s="1"/>
  <c r="O136" i="3"/>
  <c r="P136" i="3" s="1"/>
  <c r="O137" i="3"/>
  <c r="P137" i="3" s="1"/>
  <c r="O138" i="3"/>
  <c r="P138" i="3" s="1"/>
  <c r="O139" i="3"/>
  <c r="P139" i="3" s="1"/>
  <c r="O140" i="3"/>
  <c r="P140" i="3" s="1"/>
  <c r="O141" i="3"/>
  <c r="P141" i="3" s="1"/>
  <c r="O142" i="3"/>
  <c r="P142" i="3" s="1"/>
  <c r="O143" i="3"/>
  <c r="P143" i="3" s="1"/>
  <c r="O144" i="3"/>
  <c r="P144" i="3" s="1"/>
  <c r="O145" i="3"/>
  <c r="P145" i="3" s="1"/>
  <c r="O146" i="3"/>
  <c r="P146" i="3" s="1"/>
  <c r="O147" i="3"/>
  <c r="P147" i="3" s="1"/>
  <c r="O148" i="3"/>
  <c r="P148" i="3" s="1"/>
  <c r="O149" i="3"/>
  <c r="P149" i="3" s="1"/>
  <c r="O150" i="3"/>
  <c r="P150" i="3" s="1"/>
  <c r="O151" i="3"/>
  <c r="P151" i="3" s="1"/>
  <c r="O152" i="3"/>
  <c r="P152" i="3" s="1"/>
  <c r="O153" i="3"/>
  <c r="P153" i="3" s="1"/>
  <c r="O154" i="3"/>
  <c r="P154" i="3" s="1"/>
  <c r="O155" i="3"/>
  <c r="P155" i="3" s="1"/>
  <c r="O156" i="3"/>
  <c r="P156" i="3" s="1"/>
  <c r="O157" i="3"/>
  <c r="P157" i="3" s="1"/>
  <c r="O158" i="3"/>
  <c r="P158" i="3" s="1"/>
  <c r="O159" i="3"/>
  <c r="P159" i="3" s="1"/>
  <c r="O160" i="3"/>
  <c r="P160" i="3" s="1"/>
  <c r="O161" i="3"/>
  <c r="P161" i="3" s="1"/>
  <c r="O162" i="3"/>
  <c r="P162" i="3" s="1"/>
  <c r="O163" i="3"/>
  <c r="P163" i="3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2" i="4"/>
  <c r="P42" i="4" s="1"/>
  <c r="O43" i="4"/>
  <c r="P43" i="4" s="1"/>
  <c r="O45" i="4"/>
  <c r="P45" i="4" s="1"/>
  <c r="O46" i="4"/>
  <c r="P46" i="4" s="1"/>
  <c r="O47" i="4"/>
  <c r="P47" i="4" s="1"/>
  <c r="O48" i="4"/>
  <c r="P48" i="4" s="1"/>
  <c r="O49" i="4"/>
  <c r="P49" i="4" s="1"/>
  <c r="O51" i="4"/>
  <c r="P51" i="4" s="1"/>
  <c r="O52" i="4"/>
  <c r="P52" i="4" s="1"/>
  <c r="O53" i="4"/>
  <c r="P53" i="4" s="1"/>
  <c r="O54" i="4"/>
  <c r="P54" i="4" s="1"/>
  <c r="O55" i="4"/>
  <c r="P55" i="4" s="1"/>
  <c r="O56" i="4"/>
  <c r="P56" i="4" s="1"/>
  <c r="O58" i="4"/>
  <c r="P58" i="4" s="1"/>
  <c r="O60" i="4"/>
  <c r="P60" i="4" s="1"/>
  <c r="O61" i="4"/>
  <c r="P61" i="4" s="1"/>
  <c r="O62" i="4"/>
  <c r="P62" i="4" s="1"/>
  <c r="O63" i="4"/>
  <c r="P63" i="4" s="1"/>
  <c r="O64" i="4"/>
  <c r="P64" i="4" s="1"/>
  <c r="O65" i="4"/>
  <c r="P65" i="4" s="1"/>
  <c r="O66" i="4"/>
  <c r="P66" i="4" s="1"/>
  <c r="O67" i="4"/>
  <c r="P67" i="4" s="1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78" i="4"/>
  <c r="P78" i="4" s="1"/>
  <c r="O79" i="4"/>
  <c r="P79" i="4" s="1"/>
  <c r="O80" i="4"/>
  <c r="P80" i="4" s="1"/>
  <c r="O81" i="4"/>
  <c r="P81" i="4" s="1"/>
  <c r="O82" i="4"/>
  <c r="P82" i="4" s="1"/>
  <c r="O83" i="4"/>
  <c r="P83" i="4" s="1"/>
  <c r="O84" i="4"/>
  <c r="P84" i="4" s="1"/>
  <c r="O85" i="4"/>
  <c r="P85" i="4" s="1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P109" i="4" s="1"/>
  <c r="O110" i="4"/>
  <c r="P110" i="4" s="1"/>
  <c r="O111" i="4"/>
  <c r="P111" i="4" s="1"/>
  <c r="O112" i="4"/>
  <c r="P112" i="4" s="1"/>
  <c r="O113" i="4"/>
  <c r="P113" i="4" s="1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3" i="4"/>
  <c r="P123" i="4" s="1"/>
  <c r="O124" i="4"/>
  <c r="P124" i="4" s="1"/>
  <c r="O125" i="4"/>
  <c r="P125" i="4" s="1"/>
  <c r="O126" i="4"/>
  <c r="P126" i="4" s="1"/>
  <c r="O127" i="4"/>
  <c r="P127" i="4" s="1"/>
  <c r="O128" i="4"/>
  <c r="P128" i="4" s="1"/>
  <c r="O129" i="4"/>
  <c r="P129" i="4" s="1"/>
  <c r="O130" i="4"/>
  <c r="P130" i="4" s="1"/>
  <c r="O131" i="4"/>
  <c r="P131" i="4" s="1"/>
  <c r="O132" i="4"/>
  <c r="P132" i="4" s="1"/>
  <c r="O133" i="4"/>
  <c r="P133" i="4" s="1"/>
  <c r="O134" i="4"/>
  <c r="P134" i="4" s="1"/>
  <c r="O135" i="4"/>
  <c r="P135" i="4" s="1"/>
  <c r="O136" i="4"/>
  <c r="P136" i="4" s="1"/>
  <c r="O137" i="4"/>
  <c r="P137" i="4" s="1"/>
  <c r="O138" i="4"/>
  <c r="P138" i="4" s="1"/>
  <c r="O139" i="4"/>
  <c r="P139" i="4" s="1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P145" i="4" s="1"/>
  <c r="O146" i="4"/>
  <c r="P146" i="4" s="1"/>
  <c r="O147" i="4"/>
  <c r="P147" i="4" s="1"/>
  <c r="O148" i="4"/>
  <c r="P148" i="4" s="1"/>
  <c r="O149" i="4"/>
  <c r="P149" i="4" s="1"/>
  <c r="O150" i="4"/>
  <c r="P150" i="4" s="1"/>
  <c r="O151" i="4"/>
  <c r="P151" i="4" s="1"/>
  <c r="O152" i="4"/>
  <c r="P152" i="4" s="1"/>
  <c r="O153" i="4"/>
  <c r="P153" i="4" s="1"/>
  <c r="O154" i="4"/>
  <c r="P154" i="4" s="1"/>
  <c r="O155" i="4"/>
  <c r="P155" i="4" s="1"/>
  <c r="O156" i="4"/>
  <c r="P156" i="4" s="1"/>
  <c r="O157" i="4"/>
  <c r="P157" i="4" s="1"/>
  <c r="O158" i="4"/>
  <c r="P158" i="4" s="1"/>
  <c r="O159" i="4"/>
  <c r="P159" i="4" s="1"/>
  <c r="O160" i="4"/>
  <c r="P160" i="4" s="1"/>
  <c r="O161" i="4"/>
  <c r="P161" i="4" s="1"/>
  <c r="O162" i="4"/>
  <c r="P162" i="4" s="1"/>
  <c r="O163" i="4"/>
  <c r="P163" i="4" s="1"/>
</calcChain>
</file>

<file path=xl/sharedStrings.xml><?xml version="1.0" encoding="utf-8"?>
<sst xmlns="http://schemas.openxmlformats.org/spreadsheetml/2006/main" count="1070" uniqueCount="345">
  <si>
    <t>Daftar Perusahaan 2014</t>
  </si>
  <si>
    <t>Asset Lancar</t>
  </si>
  <si>
    <t>Liabilitas Lancar</t>
  </si>
  <si>
    <t>Total Asset</t>
  </si>
  <si>
    <t>WCR</t>
  </si>
  <si>
    <t>ICP</t>
  </si>
  <si>
    <t>ACP</t>
  </si>
  <si>
    <t>APP</t>
  </si>
  <si>
    <t>CCC</t>
  </si>
  <si>
    <t>Total Fix Asset (n)</t>
  </si>
  <si>
    <t>Total Fix Asset (n-1)</t>
  </si>
  <si>
    <t>CAPEX</t>
  </si>
  <si>
    <t>Total Debt</t>
  </si>
  <si>
    <t>Total Equity</t>
  </si>
  <si>
    <t>DER</t>
  </si>
  <si>
    <t>BASIC INDUSTRY AND CHEMICALS</t>
  </si>
  <si>
    <t>CEMENT</t>
  </si>
  <si>
    <t>1 Holcim Indonesia Tbk. [S]</t>
  </si>
  <si>
    <t>2 Indocement Tunggal Prakarsa Tbk. [S]</t>
  </si>
  <si>
    <t>3 Semen Baturaja (Persero) Tbk.</t>
  </si>
  <si>
    <t>4 Semen Indonesia (Persero) Tbk. [S]</t>
  </si>
  <si>
    <t>5 Wijaya Karya Beton Tbk. [S]</t>
  </si>
  <si>
    <t>CERAMICS, GLASS, PORCELAIN</t>
  </si>
  <si>
    <t>1 Arwana Citramulia Tbk. [S]</t>
  </si>
  <si>
    <t>2 Asahimas Flat Glass Tbk. [S]</t>
  </si>
  <si>
    <t>3 Intikeramik Alamasri Industri Tbk. [S]</t>
  </si>
  <si>
    <t>4 Keramika Indonesia Assosiasi Tbk. [S]</t>
  </si>
  <si>
    <t>5 Mulia Industrindo Tbk.</t>
  </si>
  <si>
    <t>6 Surya Toto Indonesia Tbk. [S]</t>
  </si>
  <si>
    <t>METAL AND ALLIED PRODUCTS</t>
  </si>
  <si>
    <t>1 Alakasa Industrindo Tbk. [S]</t>
  </si>
  <si>
    <t>2 Alumindo Light Metal Industry Tbk.</t>
  </si>
  <si>
    <t>3 Betonjaya Manunggal Tbk. [S]</t>
  </si>
  <si>
    <t>4 Citra Tubindo Tbk. [S]</t>
  </si>
  <si>
    <t>5 Gunawan Dianjaya Steel Tbk. [S]</t>
  </si>
  <si>
    <t>6 Indal Aluminium Industry Tbk. [S]</t>
  </si>
  <si>
    <t>7 Jakarta Kyoei Steel Works Tbk. [S]</t>
  </si>
  <si>
    <t>8 Jaya Pari Steel Tbk. [S]</t>
  </si>
  <si>
    <t>9 Krakatau Steel (Persero) Tbk.</t>
  </si>
  <si>
    <t>10 Lion Metal Works Tbk. [S]</t>
  </si>
  <si>
    <t>11 Lionmesh Prima Tbk. [S]</t>
  </si>
  <si>
    <t>12 Pelangi Indah Canindo Tbk.</t>
  </si>
  <si>
    <t>13 Pelat Timah Nusantara Tbk. [S]</t>
  </si>
  <si>
    <t>14 Saranacentral Bajatama Tbk.</t>
  </si>
  <si>
    <t>15 Steel Pipe Industry of Indonesia Tbk. [S]</t>
  </si>
  <si>
    <t>16 Tembaga Mulia Semanan Tbk.</t>
  </si>
  <si>
    <t>CHEMICALS</t>
  </si>
  <si>
    <t>1 Barito Pacific Tbk. [S]</t>
  </si>
  <si>
    <t>3 Chandra Asri Petrochemical Tbk. [S]</t>
  </si>
  <si>
    <t>4 Duta Pertiwi Nusantara Tbk. [S]</t>
  </si>
  <si>
    <t>5 Ekadharma International Tbk. [S]</t>
  </si>
  <si>
    <t>6 Eterindo Wahanatama Tbk.</t>
  </si>
  <si>
    <t>7 Indo Acidatama Tbk. [S]</t>
  </si>
  <si>
    <t>8 Intanwijaya Internasional Tbk. [S]</t>
  </si>
  <si>
    <t>9 Sorini Agro Asia Corporindo Tbk. [S]</t>
  </si>
  <si>
    <t>10 Unggul Indah Cahaya Tbk. [S]</t>
  </si>
  <si>
    <t xml:space="preserve">PLASTICS &amp; PACKAGING </t>
  </si>
  <si>
    <t>2 Argha Karya Prima Industry Tbk. [S]</t>
  </si>
  <si>
    <t>3 Asiaplast Industries Tbk. [S]</t>
  </si>
  <si>
    <t>4 Berlina Tbk. [S]</t>
  </si>
  <si>
    <t>5 Champion Pacific Indonesia Tbk. [S]</t>
  </si>
  <si>
    <t>6 Impack Pratama Industri Tbk. [S]</t>
  </si>
  <si>
    <t>7 Indopoly Swakarsa Industry Tbk. [S]</t>
  </si>
  <si>
    <t>8 Lotte Chemical Titan Tbk. [S]</t>
  </si>
  <si>
    <t>11 Trias Sentosa Tbk. [S]</t>
  </si>
  <si>
    <t>12 Tunas Alfin Tbk.</t>
  </si>
  <si>
    <t>13 Yanaprima Hastapersada Tbk. [S]</t>
  </si>
  <si>
    <t>ANIMAL FEED</t>
  </si>
  <si>
    <t>1 Charoen Pokphand Indonesia Tbk. [S]</t>
  </si>
  <si>
    <t>2 JAPFA Comfeed Indonesia Tbk.</t>
  </si>
  <si>
    <t>3 Malindo Feedmill Tbk. [S]</t>
  </si>
  <si>
    <t>4 Sierad Produce Tbk. [S]</t>
  </si>
  <si>
    <t>WOOD INDUSTRIES</t>
  </si>
  <si>
    <t>1 SLJ Global Tbk.</t>
  </si>
  <si>
    <t>2 Tirta Mahakam Resources Tbk.</t>
  </si>
  <si>
    <t xml:space="preserve">PULP &amp; PAPER </t>
  </si>
  <si>
    <t>1 Alkindo Naratama Tbk [S]</t>
  </si>
  <si>
    <t>2 Dwi Aneka Jaya Kemasindo Tbk. [S]</t>
  </si>
  <si>
    <t>3 Fajar Surya Wisesa Tbk.</t>
  </si>
  <si>
    <t>4 Indah Kiat Pulp &amp; Paper Tbk.</t>
  </si>
  <si>
    <t>5 Kedawung Setia Industrial Tbk. [S]</t>
  </si>
  <si>
    <t>6 Kertas Basuki Rachmat Indonesia Tbk.</t>
  </si>
  <si>
    <t>7 Pabrik Kertas Tjiwi Kimia Tbk.</t>
  </si>
  <si>
    <t>8 Suparma Tbk.</t>
  </si>
  <si>
    <t>9 Toba Pulp Lestari Tbk. [S]</t>
  </si>
  <si>
    <t>MISCELLANEOUS INDUSTRY</t>
  </si>
  <si>
    <t>MACHINERY AND HEAVY EQUIPMENT</t>
  </si>
  <si>
    <t>Grand Kartech Tbk. [S]</t>
  </si>
  <si>
    <t xml:space="preserve">AUTOMOTIVE AND COMPONENTS </t>
  </si>
  <si>
    <t>Astra International Tbk. [S]</t>
  </si>
  <si>
    <t>Astra Otoparts Tbk. [S]</t>
  </si>
  <si>
    <t>Gajah Tunggal Tbk. [S]</t>
  </si>
  <si>
    <t>Indo Kordsa Tbk. [S]</t>
  </si>
  <si>
    <t>Indomobil Sukses Internasional Tbk.</t>
  </si>
  <si>
    <t>Indospring Tbk. [S]</t>
  </si>
  <si>
    <t>Multi Prima Sejahtera Tbk. [S]</t>
  </si>
  <si>
    <t>Multistrada Arah Sarana Tbk. [S]</t>
  </si>
  <si>
    <t>Nipress Tbk.</t>
  </si>
  <si>
    <t>Prima Alloy Steel Universal Tbk. [S]</t>
  </si>
  <si>
    <t>Selamat Sempurna Tbk. [S]</t>
  </si>
  <si>
    <t>TEXTILE, GARMENT</t>
  </si>
  <si>
    <t>Argo Pantes Tbk.</t>
  </si>
  <si>
    <t>Asia Pacific Fibers Tbk.</t>
  </si>
  <si>
    <t>Century Textile Industry (PS) Tbk.</t>
  </si>
  <si>
    <t>Century Textile Industry (Seri B) Tbk.</t>
  </si>
  <si>
    <t>Eratex Djaja Tbk.</t>
  </si>
  <si>
    <t>Ever Shine Textile Industry Tbk.</t>
  </si>
  <si>
    <t>Indo-Rama Synthetics Tbk. [S]</t>
  </si>
  <si>
    <t>Nusantara Inti Corpora Tbk. [S]</t>
  </si>
  <si>
    <t>Pan Brothers Tbk. [S]</t>
  </si>
  <si>
    <t>Panasia Indo Resources Tbk.</t>
  </si>
  <si>
    <t>Ricky Putra Globalindo Tbk. [S]</t>
  </si>
  <si>
    <t>Sri Rejeki Isman Tbk.</t>
  </si>
  <si>
    <t>Star Petrochem Tbk. [S]</t>
  </si>
  <si>
    <t>Sunson Textile Manufacturer Tbk. [S]</t>
  </si>
  <si>
    <t>Tifico Fiber Indonesia Tbk. [S]</t>
  </si>
  <si>
    <t>Trisula International Tbk. [S]</t>
  </si>
  <si>
    <t>FOOTWEAR</t>
  </si>
  <si>
    <t>Primarindo Asia Infrastructure Tbk.</t>
  </si>
  <si>
    <t>Sepatu Bata Tbk. [S]</t>
  </si>
  <si>
    <t xml:space="preserve">CABLE </t>
  </si>
  <si>
    <t>Jembo Cable Company Tbk.</t>
  </si>
  <si>
    <t>Kabelindo Murni Tbk. [S]</t>
  </si>
  <si>
    <t>KMI Wire and Cable Tbk. [S]</t>
  </si>
  <si>
    <t>Sumi Indo Kabel Tbk. [S]</t>
  </si>
  <si>
    <t>Supreme Cable Manufacturing &amp; Commerce Tbk. [S]</t>
  </si>
  <si>
    <t>Voksel Electric Tbk. [S]</t>
  </si>
  <si>
    <t xml:space="preserve">ELECTRONICS </t>
  </si>
  <si>
    <t>Sat Nusapersada Tbk. [S]</t>
  </si>
  <si>
    <t>CONSUMER GOODS INDUSTRY</t>
  </si>
  <si>
    <t>FOOD AND BEVERAGES</t>
  </si>
  <si>
    <t>2 Delta Djakarta Tbk.</t>
  </si>
  <si>
    <t>3 Indofood CBP Sukses Makmur Tbk. [S]</t>
  </si>
  <si>
    <t>4 Indofood Sukses Makmur Tbk. [S]</t>
  </si>
  <si>
    <t>5 Mayora Indah Tbk. [S]</t>
  </si>
  <si>
    <t>6 Multi Bintang Indonesia Tbk.</t>
  </si>
  <si>
    <t>7 Nippon Indosari Corpindo Tbk. [S]</t>
  </si>
  <si>
    <t>8 Prasidha Aneka Niaga Tbk. [S]</t>
  </si>
  <si>
    <t>9 Sekar Bumi Tbk. [S]</t>
  </si>
  <si>
    <t>10 Sekar Laut Tbk. [S]</t>
  </si>
  <si>
    <t>11 Siantar Top Tbk. [S]</t>
  </si>
  <si>
    <t>12 Tiga Pilar Sejahtera Food Tbk. [S]</t>
  </si>
  <si>
    <t>13 Tri Banyan Tirta Tbk.</t>
  </si>
  <si>
    <t>14 Ultrajaya Milk Industry &amp; Trading Co. Tbk. [S]</t>
  </si>
  <si>
    <t>15 Wilmar Cahaya Indonesia Tbk.</t>
  </si>
  <si>
    <t xml:space="preserve">TOBACCO MANUFACTURERS </t>
  </si>
  <si>
    <t>1 Bentoel Internasional Investama Tbk.</t>
  </si>
  <si>
    <t>2 Gudang Garam Tbk.</t>
  </si>
  <si>
    <t>3 HM Sampoerna Tbk.</t>
  </si>
  <si>
    <t>4 Wismilak Inti Makmur Tbk.</t>
  </si>
  <si>
    <t>PHARMACEUTICALS</t>
  </si>
  <si>
    <t>1 Darya-Varia Laboratoria Tbk. [S]</t>
  </si>
  <si>
    <t>2 Indofarma (Persero) Tbk. [S]</t>
  </si>
  <si>
    <t>3 Industri Jamu dan Farmasi Sido Muncul Tbk. [S]</t>
  </si>
  <si>
    <t>4 Kalbe Farma Tbk. [S]</t>
  </si>
  <si>
    <t>5 Kimia Farma (Persero) Tbk. [S]</t>
  </si>
  <si>
    <t>6 Merck Sharp Dohme Pharma Tbk.</t>
  </si>
  <si>
    <t>7 Merck Tbk. [S]</t>
  </si>
  <si>
    <t>8 Pyridam Farma Tbk. [S]</t>
  </si>
  <si>
    <t>9 Taisho Pharmaceutical Indonesia (PS) Tbk.</t>
  </si>
  <si>
    <t>10 Taisho Pharmaceutical Indonesia Tbk. [S]</t>
  </si>
  <si>
    <t>11 Tempo Scan Pacific Tbk. [S]</t>
  </si>
  <si>
    <t xml:space="preserve">COSMETICS AND HOUSEHOLD </t>
  </si>
  <si>
    <t>2 Mandom Indonesia Tbk. [S]</t>
  </si>
  <si>
    <t>3 Martina Berto Tbk. [S]</t>
  </si>
  <si>
    <t>4 Mustika Ratu Tbk. [S]</t>
  </si>
  <si>
    <t>5 Unilever Indonesia Tbk. [S]</t>
  </si>
  <si>
    <t>HOUSEWARE</t>
  </si>
  <si>
    <t>1 Chitose Internasional Tbk. [S]</t>
  </si>
  <si>
    <t>2 Kedaung Indah Can Tbk. [S]</t>
  </si>
  <si>
    <t>3 Langgeng Makmur Industri Tbk. [S]</t>
  </si>
  <si>
    <t>*orens: laporan posisi keuangan</t>
  </si>
  <si>
    <t>Daftar Perusahaan 2017</t>
  </si>
  <si>
    <t>Liabilitas Lancar/jangka pendek</t>
  </si>
  <si>
    <t>Total Fix Asset /aset tetap (n) tahun saat ini</t>
  </si>
  <si>
    <t>Total Fix Asset / aset tetap (n-1) tahun sebelumnya</t>
  </si>
  <si>
    <t>Total Debt/utang</t>
  </si>
  <si>
    <t>Total Equity/modal/ekuitas</t>
  </si>
  <si>
    <t>persediaan/inventories</t>
  </si>
  <si>
    <t>Harga Pokok Penjualan/cost of sales/beban pokok pendapatan/beban pokok penjualan</t>
  </si>
  <si>
    <t>hari</t>
  </si>
  <si>
    <t>utang usaha/trade payable</t>
  </si>
  <si>
    <t>piutang usaha/trade receivable</t>
  </si>
  <si>
    <t>penjualan/sales/pendapatan</t>
  </si>
  <si>
    <t>1 Holcim Indonesia/Solusi Bangun Indonesia Tbk. [S]</t>
  </si>
  <si>
    <t>sama</t>
  </si>
  <si>
    <t>*abu-abu: laba rugi</t>
  </si>
  <si>
    <t>Total Debt/liabilitas</t>
  </si>
  <si>
    <t>Download</t>
  </si>
  <si>
    <t>1. Laporan tahunan /annual report</t>
  </si>
  <si>
    <t>2/ Laporan keuangan Desember 2017 (audited)</t>
  </si>
  <si>
    <t>Simpen File</t>
  </si>
  <si>
    <t>1. Buat satu folder</t>
  </si>
  <si>
    <t>2. Penamaan file -&gt; Nama Perusahaan_2017</t>
  </si>
  <si>
    <t>Cara mencari laporan tahunan / laporan keuangan</t>
  </si>
  <si>
    <t>1. masuk google -&gt; ketik nama laporan tahunan tulis nama perusahaan dan tahun</t>
  </si>
  <si>
    <t>2. masuk google -&gt; ketik idx -&gt; klik tab laporan keuangan -&gt; jenis laporan kilk laporan tahunan -&gt; masukkan nama perusahaan sesuai exel-&gt; jangan lupa klik tahun (2017)</t>
  </si>
  <si>
    <t>Daftar Perusahaan 2018</t>
  </si>
  <si>
    <t>Daftar Perusahaan 2019</t>
  </si>
  <si>
    <t>Persediaan</t>
  </si>
  <si>
    <t>HPP</t>
  </si>
  <si>
    <t>Piutang</t>
  </si>
  <si>
    <t>Sales</t>
  </si>
  <si>
    <t>Utang</t>
  </si>
  <si>
    <t>1 Holcim Indonesia Tbk [S]</t>
  </si>
  <si>
    <t>2 Indocement Tunggal Prakarsa Tbk [S]</t>
  </si>
  <si>
    <t>3 Semen Baturaja (Persero) Tbk</t>
  </si>
  <si>
    <t>4 Semen Indonesia (Persero) Tbk [S]</t>
  </si>
  <si>
    <t>5 Wijaya Karya Beton Tbk [S]</t>
  </si>
  <si>
    <t>1 Arwana Citramulia Tbk [S]</t>
  </si>
  <si>
    <t>2 Asahimas Flat Glass Tbk [S]</t>
  </si>
  <si>
    <t>3 Intikeramik Alamasri Industri Tbk [S]</t>
  </si>
  <si>
    <t>4 Keramika Indonesia Assosiasi Tbk [S]</t>
  </si>
  <si>
    <t>5 Mulia Industrindo Tbk</t>
  </si>
  <si>
    <t>6 Surya Toto Indonesia Tbk [S]</t>
  </si>
  <si>
    <t>1 Alakasa Industrindo Tbk [S]</t>
  </si>
  <si>
    <t>2 Alumindo Light Metal Industry Tbk</t>
  </si>
  <si>
    <t>3 Betonjaya Manunggal Tbk [S]</t>
  </si>
  <si>
    <t>4 Citra Tubindo Tbk [S]</t>
  </si>
  <si>
    <t>5 Gunawan Dianjaya Steel Tbk [S]</t>
  </si>
  <si>
    <t>6 Indal Aluminium Industry Tbk [S]</t>
  </si>
  <si>
    <t>7 Jakarta Kyoei Steel Works Tbk [S]</t>
  </si>
  <si>
    <t>8 Jaya Pari Steel Tbk [S]</t>
  </si>
  <si>
    <t>9 Krakatau Steel (Persero) Tbk</t>
  </si>
  <si>
    <t>10 Lion Metal Works Tbk [S]</t>
  </si>
  <si>
    <t>11 Lionmesh Prima Tbk [S]</t>
  </si>
  <si>
    <t>12 Pelangi Indah Canindo Tbk</t>
  </si>
  <si>
    <t>13 Pelat Timah Nusantara Tbk [S]</t>
  </si>
  <si>
    <t>14 Saranacentral Bajatama Tbk</t>
  </si>
  <si>
    <t>15 Steel Pipe Industry of Indonesia Tbk [S]</t>
  </si>
  <si>
    <t>16 Tembaga Mulia Semanan Tbk</t>
  </si>
  <si>
    <t>1 Barito Pacific Tbk [S]</t>
  </si>
  <si>
    <t>3 Chandra Asri Petrochemical Tbk [S]</t>
  </si>
  <si>
    <t>4 Duta Pertiwi Nusantara Tbk [S]</t>
  </si>
  <si>
    <t>5 Ekadharma International Tbk [S]</t>
  </si>
  <si>
    <t>6 Eterindo Wahanatama Tbk</t>
  </si>
  <si>
    <t>7 Indo Acidatama Tbk [S]</t>
  </si>
  <si>
    <t>8 Intanwijaya Internasional Tbk [S]</t>
  </si>
  <si>
    <t>9 Sorini Agro Asia Corporindo Tbk [S]</t>
  </si>
  <si>
    <t>10 Unggul Indah Cahaya Tbk [S]</t>
  </si>
  <si>
    <t>2 Argha Karya Prima Industry Tbk [S]</t>
  </si>
  <si>
    <t>3 Asiaplast Industries Tbk [S]</t>
  </si>
  <si>
    <t>4 Berlina Tbk [S]</t>
  </si>
  <si>
    <t>5 Champion Pacific Indonesia Tbk [S]</t>
  </si>
  <si>
    <t>6 Impack Pratama Industri Tbk [S]</t>
  </si>
  <si>
    <t>7 Indopoly Swakarsa Industry Tbk [S]</t>
  </si>
  <si>
    <t>8 Lotte Chemical Titan Tbk [S]</t>
  </si>
  <si>
    <t>11 Trias Sentosa Tbk [S]</t>
  </si>
  <si>
    <t>12 Tunas Alfin Tbk</t>
  </si>
  <si>
    <t>13 Yanaprima Hastapersada Tbk [S]</t>
  </si>
  <si>
    <t>1 Charoen Pokphand Indonesia Tbk [S]</t>
  </si>
  <si>
    <t>2 JAPFA Comfeed Indonesia Tbk</t>
  </si>
  <si>
    <t>3 Malindo Feedmill Tbk [S]</t>
  </si>
  <si>
    <t>4 Sierad Produce Tbk [S]</t>
  </si>
  <si>
    <t>1 SLJ Global Tbk</t>
  </si>
  <si>
    <t>2 Tirta Mahakam Resources Tbk</t>
  </si>
  <si>
    <t>2 Dwi Aneka Jaya Kemasindo Tbk [S]</t>
  </si>
  <si>
    <t>3 Fajar Surya Wisesa Tbk</t>
  </si>
  <si>
    <t>4 Indah Kiat Pulp &amp; Paper Tbk</t>
  </si>
  <si>
    <t>4 118760</t>
  </si>
  <si>
    <t>2 400513</t>
  </si>
  <si>
    <t>5 Kedawung Setia Industrial Tbk [S]</t>
  </si>
  <si>
    <t>6 Kertas Basuki Rachmat Indonesia Tbk</t>
  </si>
  <si>
    <t>7 Pabrik Kertas Tjiwi Kimia Tbk</t>
  </si>
  <si>
    <t>8 Suparma Tbk</t>
  </si>
  <si>
    <t>9 Toba Pulp Lestari Tbk [S]</t>
  </si>
  <si>
    <t>Grand Kartech Tbk [S]</t>
  </si>
  <si>
    <t>Astra International Tbk [S]</t>
  </si>
  <si>
    <t>Astra Otoparts Tbk [S]</t>
  </si>
  <si>
    <t>Gajah Tunggal Tbk [S]</t>
  </si>
  <si>
    <t>Indo Kordsa Tbk [S]</t>
  </si>
  <si>
    <t>Indomobil Sukses Internasional Tbk</t>
  </si>
  <si>
    <t>Indospring Tbk [S]</t>
  </si>
  <si>
    <t>Multi Prima Sejahtera Tbk [S]</t>
  </si>
  <si>
    <t>Multistrada Arah Sarana Tbk [S]</t>
  </si>
  <si>
    <t>Nipress Tbk</t>
  </si>
  <si>
    <t>Prima Alloy Steel Universal Tbk [S]</t>
  </si>
  <si>
    <t>Selamat Sempurna Tbk [S]</t>
  </si>
  <si>
    <t>Argo Pantes Tbk</t>
  </si>
  <si>
    <t>Asia Pacific Fibers Tbk</t>
  </si>
  <si>
    <t>Century Textile Industry (PS) Tbk</t>
  </si>
  <si>
    <t>Century Textile Industry (Seri B) Tbk</t>
  </si>
  <si>
    <t>Eratex Djaja Tbk</t>
  </si>
  <si>
    <t>Ever Shine Textile Industry Tbk</t>
  </si>
  <si>
    <t>Indo-Rama Synthetics Tbk [S]</t>
  </si>
  <si>
    <t>Nusantara Inti Corpora Tbk [S]</t>
  </si>
  <si>
    <t>Pan Brothers Tbk [S]</t>
  </si>
  <si>
    <t>Panasia Indo Resources Tbk</t>
  </si>
  <si>
    <t>Ricky Putra Globalindo Tbk [S]</t>
  </si>
  <si>
    <t>Sri Rejeki Isman Tbk</t>
  </si>
  <si>
    <t>Star Petrochem Tbk [S]</t>
  </si>
  <si>
    <t>Sunson Textile Manufacturer Tbk [S]</t>
  </si>
  <si>
    <t>Tifico Fiber Indonesia Tbk [S]</t>
  </si>
  <si>
    <t>Trisula International Tbk [S]</t>
  </si>
  <si>
    <t>Primarindo Asia Infrastructure Tbk</t>
  </si>
  <si>
    <t>Sepatu Bata Tbk [S]</t>
  </si>
  <si>
    <t>Jembo Cable Company Tbk</t>
  </si>
  <si>
    <t>Kabelindo Murni Tbk [S]</t>
  </si>
  <si>
    <t>KMI Wire and Cable Tbk [S]</t>
  </si>
  <si>
    <t>Sumi Indo Kabel Tbk [S]</t>
  </si>
  <si>
    <t>Supreme Cable Manufacturing &amp; Commerce Tbk [S]</t>
  </si>
  <si>
    <t>Voksel Electric Tbk [S]</t>
  </si>
  <si>
    <t>Sat Nusapersada Tbk [S]</t>
  </si>
  <si>
    <t>2 Delta Djakarta Tbk</t>
  </si>
  <si>
    <t>3 Indofood CBP Sukses Makmur Tbk [S]</t>
  </si>
  <si>
    <t>4 Indofood Sukses Makmur Tbk [S]</t>
  </si>
  <si>
    <t>5 Mayora Indah Tbk [S]</t>
  </si>
  <si>
    <t>6 Multi Bintang Indonesia Tbk</t>
  </si>
  <si>
    <t>7 Nippon Indosari Corpindo Tbk [S]</t>
  </si>
  <si>
    <t>8 Prasidha Aneka Niaga Tbk [S]</t>
  </si>
  <si>
    <t>9 Sekar Bumi Tbk [S]</t>
  </si>
  <si>
    <t>10 Sekar Laut Tbk [S]</t>
  </si>
  <si>
    <t>11 Siantar Top Tbk [S]</t>
  </si>
  <si>
    <t>12 Tiga Pilar Sejahtera Food Tbk [S]</t>
  </si>
  <si>
    <t>13 Tri Banyan Tirta Tbk</t>
  </si>
  <si>
    <t>14 Ultrajaya Milk Industry &amp; Trading Co Tbk [S]</t>
  </si>
  <si>
    <t>15 Wilmar Cahaya Indonesia Tbk</t>
  </si>
  <si>
    <t>1 Bentoel Internasional Investama Tbk</t>
  </si>
  <si>
    <t>2 Gudang Garam Tbk</t>
  </si>
  <si>
    <t>3 HM Sampoerna Tbk</t>
  </si>
  <si>
    <t>4 Wismilak Inti Makmur Tbk</t>
  </si>
  <si>
    <t>1 Darya-Varia Laboratoria Tbk [S]</t>
  </si>
  <si>
    <t>2 Indofarma (Persero) Tbk [S]</t>
  </si>
  <si>
    <t>782887635406 8</t>
  </si>
  <si>
    <t>3 Industri Jamu dan Farmasi Sido Muncul Tbk [S]</t>
  </si>
  <si>
    <t>4 Kalbe Farma Tbk [S]</t>
  </si>
  <si>
    <t>5 Kimia Farma (Persero) Tbk [S]</t>
  </si>
  <si>
    <t>6 Merck Sharp Dohme Pharma Tbk</t>
  </si>
  <si>
    <t>7 Merck Tbk [S]</t>
  </si>
  <si>
    <t>8 Pyridam Farma Tbk [S]</t>
  </si>
  <si>
    <t>9 Taisho Pharmaceutical Indonesia (PS) Tbk</t>
  </si>
  <si>
    <t>11 Tempo Scan Pacific Tbk [S]</t>
  </si>
  <si>
    <t>2 Mandom Indonesia Tbk [S]</t>
  </si>
  <si>
    <t>3 Martina Berto Tbk [S]</t>
  </si>
  <si>
    <t>4 Mustika Ratu Tbk [S]</t>
  </si>
  <si>
    <t>5 Unilever Indonesia Tbk [S]</t>
  </si>
  <si>
    <t>1 Chitose Internasional Tbk [S]</t>
  </si>
  <si>
    <t>2 Kedaung Indah Can Tbk [S]</t>
  </si>
  <si>
    <t>3 Langgeng Makmur Industri Tbk [S]</t>
  </si>
  <si>
    <t>1 0538703910</t>
  </si>
  <si>
    <t>3 8153118932</t>
  </si>
  <si>
    <t>Hari</t>
  </si>
  <si>
    <t>UTANG</t>
  </si>
  <si>
    <t xml:space="preserve">111678433514
</t>
  </si>
  <si>
    <t>75179 214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</si>
</sst>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&quot;Rp&quot;* #,##0_);_(&quot;Rp&quot;* \(#,##0\);_(&quot;Rp&quot;* &quot;-&quot;??_);_(@_)"/>
  </numFmts>
  <fonts count="24">
    <font>
      <sz val="12"/>
      <color theme="1"/>
      <name val="Arial"/>
    </font>
    <font>
      <sz val="12"/>
      <color theme="1"/>
      <name val="Times New Roman"/>
    </font>
    <font>
      <sz val="14"/>
      <color theme="1"/>
      <name val="Times New Roman"/>
    </font>
    <font>
      <sz val="12"/>
      <name val="Arial"/>
    </font>
    <font>
      <b/>
      <sz val="12"/>
      <color rgb="FF231F20"/>
      <name val="Times New Roman"/>
    </font>
    <font>
      <sz val="12"/>
      <color rgb="FF231F20"/>
      <name val="Times New Roman"/>
    </font>
    <font>
      <sz val="12"/>
      <color rgb="FF000000"/>
      <name val="Times New Roman"/>
    </font>
    <font>
      <sz val="14"/>
      <color rgb="FF000000"/>
      <name val="Times New Roman"/>
    </font>
    <font>
      <sz val="11"/>
      <color rgb="FF000000"/>
      <name val="Inconsolata"/>
    </font>
    <font>
      <sz val="12"/>
      <color theme="1"/>
      <name val="Calibri"/>
    </font>
    <font>
      <sz val="12"/>
      <color theme="1"/>
      <name val="Arial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231F20"/>
      <name val="Times New Roman"/>
      <family val="1"/>
    </font>
    <font>
      <sz val="12"/>
      <color rgb="FF231F20"/>
      <name val="Times New Roman"/>
      <family val="1"/>
    </font>
    <font>
      <sz val="12"/>
      <name val="Times New Roman"/>
      <family val="1"/>
    </font>
    <font>
      <sz val="11"/>
      <color theme="1"/>
      <name val="Arial"/>
      <family val="2"/>
    </font>
    <font>
      <sz val="6.5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Times New Roman"/>
      <family val="1"/>
    </font>
    <font>
      <sz val="8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CBEC0"/>
        <bgColor rgb="FFBCBEC0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CBE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3" tint="0.499984740745262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uble">
        <color rgb="FFC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uble">
        <color rgb="FFC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rgb="FFC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217">
    <xf numFmtId="0" fontId="0" fillId="0" borderId="0" xfId="0" applyFont="1" applyAlignment="1"/>
    <xf numFmtId="0" fontId="1" fillId="0" borderId="0" xfId="0" applyFont="1"/>
    <xf numFmtId="0" fontId="4" fillId="3" borderId="3" xfId="0" applyFont="1" applyFill="1" applyBorder="1" applyAlignment="1">
      <alignment horizontal="left" vertical="center" wrapText="1"/>
    </xf>
    <xf numFmtId="0" fontId="1" fillId="0" borderId="4" xfId="0" applyFont="1" applyBorder="1"/>
    <xf numFmtId="0" fontId="1" fillId="0" borderId="5" xfId="0" applyFont="1" applyBorder="1"/>
    <xf numFmtId="0" fontId="5" fillId="3" borderId="6" xfId="0" applyFont="1" applyFill="1" applyBorder="1" applyAlignment="1">
      <alignment horizontal="left" vertical="center" wrapText="1"/>
    </xf>
    <xf numFmtId="0" fontId="1" fillId="0" borderId="7" xfId="0" applyFont="1" applyBorder="1"/>
    <xf numFmtId="0" fontId="1" fillId="0" borderId="8" xfId="0" applyFont="1" applyBorder="1"/>
    <xf numFmtId="0" fontId="5" fillId="0" borderId="6" xfId="0" applyFont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6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3" borderId="6" xfId="0" applyFont="1" applyFill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1" fillId="0" borderId="16" xfId="0" applyFont="1" applyBorder="1"/>
    <xf numFmtId="0" fontId="1" fillId="0" borderId="17" xfId="0" applyFont="1" applyBorder="1"/>
    <xf numFmtId="0" fontId="1" fillId="6" borderId="18" xfId="0" applyFont="1" applyFill="1" applyBorder="1"/>
    <xf numFmtId="0" fontId="1" fillId="7" borderId="18" xfId="0" applyFont="1" applyFill="1" applyBorder="1"/>
    <xf numFmtId="0" fontId="2" fillId="2" borderId="19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1" fillId="6" borderId="21" xfId="0" applyFont="1" applyFill="1" applyBorder="1"/>
    <xf numFmtId="0" fontId="1" fillId="7" borderId="21" xfId="0" applyFont="1" applyFill="1" applyBorder="1"/>
    <xf numFmtId="0" fontId="1" fillId="6" borderId="22" xfId="0" applyFont="1" applyFill="1" applyBorder="1"/>
    <xf numFmtId="0" fontId="1" fillId="6" borderId="7" xfId="0" applyFont="1" applyFill="1" applyBorder="1"/>
    <xf numFmtId="0" fontId="1" fillId="7" borderId="7" xfId="0" applyFont="1" applyFill="1" applyBorder="1"/>
    <xf numFmtId="0" fontId="1" fillId="6" borderId="8" xfId="0" applyFont="1" applyFill="1" applyBorder="1"/>
    <xf numFmtId="0" fontId="5" fillId="6" borderId="6" xfId="0" applyFont="1" applyFill="1" applyBorder="1" applyAlignment="1">
      <alignment horizontal="left" vertical="center" wrapText="1"/>
    </xf>
    <xf numFmtId="43" fontId="1" fillId="0" borderId="7" xfId="0" applyNumberFormat="1" applyFont="1" applyBorder="1"/>
    <xf numFmtId="0" fontId="6" fillId="0" borderId="7" xfId="0" applyFont="1" applyBorder="1" applyAlignment="1"/>
    <xf numFmtId="0" fontId="1" fillId="9" borderId="18" xfId="0" applyFont="1" applyFill="1" applyBorder="1"/>
    <xf numFmtId="0" fontId="5" fillId="9" borderId="6" xfId="0" applyFont="1" applyFill="1" applyBorder="1" applyAlignment="1">
      <alignment horizontal="left" vertical="center" wrapText="1"/>
    </xf>
    <xf numFmtId="0" fontId="1" fillId="9" borderId="7" xfId="0" applyFont="1" applyFill="1" applyBorder="1"/>
    <xf numFmtId="0" fontId="5" fillId="6" borderId="6" xfId="0" applyFont="1" applyFill="1" applyBorder="1" applyAlignment="1">
      <alignment wrapText="1"/>
    </xf>
    <xf numFmtId="0" fontId="5" fillId="6" borderId="15" xfId="0" applyFont="1" applyFill="1" applyBorder="1" applyAlignment="1">
      <alignment horizontal="left" vertical="center" wrapText="1"/>
    </xf>
    <xf numFmtId="0" fontId="6" fillId="0" borderId="16" xfId="0" applyFont="1" applyBorder="1" applyAlignment="1"/>
    <xf numFmtId="0" fontId="8" fillId="10" borderId="0" xfId="0" applyFont="1" applyFill="1" applyAlignment="1"/>
    <xf numFmtId="0" fontId="1" fillId="11" borderId="0" xfId="0" applyFont="1" applyFill="1"/>
    <xf numFmtId="0" fontId="5" fillId="11" borderId="6" xfId="0" applyFont="1" applyFill="1" applyBorder="1" applyAlignment="1">
      <alignment horizontal="left" vertical="center" wrapText="1"/>
    </xf>
    <xf numFmtId="0" fontId="1" fillId="11" borderId="7" xfId="0" applyFont="1" applyFill="1" applyBorder="1"/>
    <xf numFmtId="0" fontId="1" fillId="11" borderId="21" xfId="0" applyFont="1" applyFill="1" applyBorder="1"/>
    <xf numFmtId="0" fontId="1" fillId="11" borderId="22" xfId="0" applyFont="1" applyFill="1" applyBorder="1"/>
    <xf numFmtId="0" fontId="9" fillId="0" borderId="0" xfId="0" applyFont="1" applyAlignment="1"/>
    <xf numFmtId="0" fontId="6" fillId="0" borderId="0" xfId="0" applyFont="1" applyAlignment="1"/>
    <xf numFmtId="0" fontId="9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11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11" fillId="0" borderId="0" xfId="0" applyFont="1"/>
    <xf numFmtId="0" fontId="12" fillId="12" borderId="26" xfId="0" applyFont="1" applyFill="1" applyBorder="1" applyAlignment="1">
      <alignment horizontal="center" vertical="center" wrapText="1"/>
    </xf>
    <xf numFmtId="0" fontId="12" fillId="12" borderId="27" xfId="0" applyFont="1" applyFill="1" applyBorder="1" applyAlignment="1">
      <alignment horizontal="center" vertical="center" wrapText="1"/>
    </xf>
    <xf numFmtId="0" fontId="14" fillId="13" borderId="28" xfId="0" applyFont="1" applyFill="1" applyBorder="1" applyAlignment="1">
      <alignment horizontal="center" vertical="center" wrapText="1"/>
    </xf>
    <xf numFmtId="0" fontId="15" fillId="13" borderId="30" xfId="0" applyFont="1" applyFill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14" borderId="30" xfId="0" applyFont="1" applyFill="1" applyBorder="1" applyAlignment="1">
      <alignment horizontal="center" vertical="center" wrapText="1"/>
    </xf>
    <xf numFmtId="0" fontId="15" fillId="0" borderId="30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5" fillId="0" borderId="30" xfId="0" applyFont="1" applyBorder="1" applyAlignment="1">
      <alignment horizontal="center" wrapText="1"/>
    </xf>
    <xf numFmtId="0" fontId="11" fillId="14" borderId="30" xfId="0" applyFont="1" applyFill="1" applyBorder="1" applyAlignment="1">
      <alignment horizontal="center" wrapText="1"/>
    </xf>
    <xf numFmtId="0" fontId="15" fillId="0" borderId="30" xfId="0" applyFont="1" applyFill="1" applyBorder="1" applyAlignment="1">
      <alignment horizontal="center" vertical="top" wrapText="1"/>
    </xf>
    <xf numFmtId="0" fontId="15" fillId="0" borderId="30" xfId="0" applyFont="1" applyFill="1" applyBorder="1" applyAlignment="1">
      <alignment horizontal="center" wrapText="1"/>
    </xf>
    <xf numFmtId="0" fontId="11" fillId="14" borderId="30" xfId="0" applyFont="1" applyFill="1" applyBorder="1" applyAlignment="1">
      <alignment horizontal="center"/>
    </xf>
    <xf numFmtId="0" fontId="11" fillId="0" borderId="32" xfId="0" applyFont="1" applyBorder="1"/>
    <xf numFmtId="0" fontId="11" fillId="0" borderId="34" xfId="0" applyFont="1" applyBorder="1"/>
    <xf numFmtId="0" fontId="14" fillId="13" borderId="30" xfId="0" applyFont="1" applyFill="1" applyBorder="1" applyAlignment="1">
      <alignment horizontal="left" vertical="center" wrapText="1"/>
    </xf>
    <xf numFmtId="0" fontId="11" fillId="14" borderId="30" xfId="0" applyFont="1" applyFill="1" applyBorder="1" applyAlignment="1">
      <alignment wrapText="1"/>
    </xf>
    <xf numFmtId="0" fontId="15" fillId="0" borderId="30" xfId="0" applyFont="1" applyFill="1" applyBorder="1" applyAlignment="1">
      <alignment horizontal="left" vertical="center" wrapText="1"/>
    </xf>
    <xf numFmtId="164" fontId="11" fillId="0" borderId="0" xfId="1" applyNumberFormat="1" applyFont="1"/>
    <xf numFmtId="0" fontId="15" fillId="0" borderId="30" xfId="0" applyFont="1" applyBorder="1" applyAlignment="1">
      <alignment horizontal="left" vertical="center" wrapText="1"/>
    </xf>
    <xf numFmtId="0" fontId="15" fillId="14" borderId="30" xfId="0" applyFont="1" applyFill="1" applyBorder="1" applyAlignment="1">
      <alignment horizontal="left" vertical="center" wrapText="1"/>
    </xf>
    <xf numFmtId="164" fontId="15" fillId="0" borderId="30" xfId="1" applyNumberFormat="1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4" fillId="13" borderId="30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23" xfId="1" applyNumberFormat="1" applyFont="1" applyBorder="1" applyAlignment="1">
      <alignment horizontal="center"/>
    </xf>
    <xf numFmtId="0" fontId="11" fillId="0" borderId="23" xfId="1" applyNumberFormat="1" applyFont="1" applyFill="1" applyBorder="1" applyAlignment="1">
      <alignment horizontal="center"/>
    </xf>
    <xf numFmtId="44" fontId="11" fillId="0" borderId="0" xfId="1" applyFont="1" applyAlignment="1">
      <alignment horizontal="center"/>
    </xf>
    <xf numFmtId="0" fontId="11" fillId="18" borderId="0" xfId="0" applyNumberFormat="1" applyFont="1" applyFill="1" applyAlignment="1">
      <alignment horizontal="center"/>
    </xf>
    <xf numFmtId="0" fontId="11" fillId="21" borderId="0" xfId="0" applyNumberFormat="1" applyFont="1" applyFill="1" applyAlignment="1">
      <alignment horizontal="center"/>
    </xf>
    <xf numFmtId="0" fontId="11" fillId="17" borderId="0" xfId="0" applyNumberFormat="1" applyFont="1" applyFill="1" applyAlignment="1">
      <alignment horizontal="center"/>
    </xf>
    <xf numFmtId="0" fontId="22" fillId="18" borderId="24" xfId="0" applyNumberFormat="1" applyFont="1" applyFill="1" applyBorder="1" applyAlignment="1">
      <alignment horizontal="center" vertical="center" wrapText="1"/>
    </xf>
    <xf numFmtId="0" fontId="22" fillId="21" borderId="24" xfId="0" applyNumberFormat="1" applyFont="1" applyFill="1" applyBorder="1" applyAlignment="1">
      <alignment horizontal="center" vertical="center" wrapText="1"/>
    </xf>
    <xf numFmtId="0" fontId="22" fillId="17" borderId="24" xfId="0" applyNumberFormat="1" applyFont="1" applyFill="1" applyBorder="1" applyAlignment="1">
      <alignment horizontal="center" vertical="center" wrapText="1"/>
    </xf>
    <xf numFmtId="0" fontId="22" fillId="18" borderId="25" xfId="0" applyNumberFormat="1" applyFont="1" applyFill="1" applyBorder="1" applyAlignment="1">
      <alignment horizontal="center" vertical="center" wrapText="1"/>
    </xf>
    <xf numFmtId="0" fontId="22" fillId="21" borderId="25" xfId="0" applyNumberFormat="1" applyFont="1" applyFill="1" applyBorder="1" applyAlignment="1">
      <alignment horizontal="center" vertical="center" wrapText="1"/>
    </xf>
    <xf numFmtId="0" fontId="22" fillId="17" borderId="25" xfId="0" applyNumberFormat="1" applyFont="1" applyFill="1" applyBorder="1" applyAlignment="1">
      <alignment horizontal="center" vertical="center" wrapText="1"/>
    </xf>
    <xf numFmtId="0" fontId="11" fillId="18" borderId="23" xfId="0" applyNumberFormat="1" applyFont="1" applyFill="1" applyBorder="1" applyAlignment="1">
      <alignment horizontal="center"/>
    </xf>
    <xf numFmtId="0" fontId="11" fillId="21" borderId="23" xfId="0" applyNumberFormat="1" applyFont="1" applyFill="1" applyBorder="1" applyAlignment="1">
      <alignment horizontal="center"/>
    </xf>
    <xf numFmtId="0" fontId="11" fillId="17" borderId="23" xfId="0" applyNumberFormat="1" applyFont="1" applyFill="1" applyBorder="1" applyAlignment="1">
      <alignment horizontal="center"/>
    </xf>
    <xf numFmtId="0" fontId="11" fillId="18" borderId="23" xfId="1" applyNumberFormat="1" applyFont="1" applyFill="1" applyBorder="1" applyAlignment="1">
      <alignment horizontal="center"/>
    </xf>
    <xf numFmtId="0" fontId="11" fillId="21" borderId="23" xfId="1" applyNumberFormat="1" applyFont="1" applyFill="1" applyBorder="1" applyAlignment="1">
      <alignment horizontal="center"/>
    </xf>
    <xf numFmtId="0" fontId="11" fillId="17" borderId="23" xfId="1" applyNumberFormat="1" applyFont="1" applyFill="1" applyBorder="1" applyAlignment="1">
      <alignment horizontal="center"/>
    </xf>
    <xf numFmtId="0" fontId="13" fillId="18" borderId="23" xfId="0" applyNumberFormat="1" applyFont="1" applyFill="1" applyBorder="1" applyAlignment="1">
      <alignment horizontal="center" vertical="center" wrapText="1"/>
    </xf>
    <xf numFmtId="0" fontId="13" fillId="18" borderId="23" xfId="0" applyNumberFormat="1" applyFont="1" applyFill="1" applyBorder="1" applyAlignment="1">
      <alignment horizontal="center" vertical="center"/>
    </xf>
    <xf numFmtId="0" fontId="11" fillId="0" borderId="23" xfId="0" applyNumberFormat="1" applyFont="1" applyBorder="1" applyAlignment="1">
      <alignment horizontal="center"/>
    </xf>
    <xf numFmtId="0" fontId="11" fillId="19" borderId="0" xfId="0" applyNumberFormat="1" applyFont="1" applyFill="1" applyAlignment="1">
      <alignment horizontal="center"/>
    </xf>
    <xf numFmtId="0" fontId="13" fillId="19" borderId="23" xfId="0" applyNumberFormat="1" applyFont="1" applyFill="1" applyBorder="1" applyAlignment="1">
      <alignment horizontal="center" vertical="center"/>
    </xf>
    <xf numFmtId="0" fontId="11" fillId="19" borderId="23" xfId="0" applyNumberFormat="1" applyFont="1" applyFill="1" applyBorder="1" applyAlignment="1">
      <alignment horizontal="center"/>
    </xf>
    <xf numFmtId="0" fontId="11" fillId="24" borderId="0" xfId="0" applyFont="1" applyFill="1" applyAlignment="1">
      <alignment horizontal="center"/>
    </xf>
    <xf numFmtId="44" fontId="11" fillId="0" borderId="0" xfId="1" applyFont="1"/>
    <xf numFmtId="0" fontId="11" fillId="20" borderId="0" xfId="0" applyNumberFormat="1" applyFont="1" applyFill="1"/>
    <xf numFmtId="0" fontId="13" fillId="20" borderId="26" xfId="0" applyNumberFormat="1" applyFont="1" applyFill="1" applyBorder="1" applyAlignment="1">
      <alignment horizontal="center" vertical="center" wrapText="1"/>
    </xf>
    <xf numFmtId="0" fontId="13" fillId="20" borderId="27" xfId="0" applyNumberFormat="1" applyFont="1" applyFill="1" applyBorder="1" applyAlignment="1">
      <alignment horizontal="center" vertical="center" wrapText="1"/>
    </xf>
    <xf numFmtId="0" fontId="11" fillId="20" borderId="25" xfId="0" applyNumberFormat="1" applyFont="1" applyFill="1" applyBorder="1" applyAlignment="1">
      <alignment horizontal="center"/>
    </xf>
    <xf numFmtId="0" fontId="11" fillId="20" borderId="23" xfId="0" applyNumberFormat="1" applyFont="1" applyFill="1" applyBorder="1" applyAlignment="1">
      <alignment horizontal="center"/>
    </xf>
    <xf numFmtId="2" fontId="11" fillId="18" borderId="0" xfId="0" applyNumberFormat="1" applyFont="1" applyFill="1"/>
    <xf numFmtId="0" fontId="11" fillId="16" borderId="0" xfId="0" applyFont="1" applyFill="1"/>
    <xf numFmtId="0" fontId="11" fillId="17" borderId="0" xfId="0" applyFont="1" applyFill="1"/>
    <xf numFmtId="0" fontId="11" fillId="22" borderId="0" xfId="0" applyFont="1" applyFill="1"/>
    <xf numFmtId="0" fontId="11" fillId="0" borderId="0" xfId="1" applyNumberFormat="1" applyFont="1"/>
    <xf numFmtId="0" fontId="11" fillId="0" borderId="25" xfId="1" applyNumberFormat="1" applyFont="1" applyBorder="1" applyAlignment="1">
      <alignment horizontal="center"/>
    </xf>
    <xf numFmtId="0" fontId="11" fillId="25" borderId="0" xfId="0" applyFont="1" applyFill="1"/>
    <xf numFmtId="0" fontId="13" fillId="25" borderId="26" xfId="0" applyFont="1" applyFill="1" applyBorder="1" applyAlignment="1">
      <alignment horizontal="center" vertical="center"/>
    </xf>
    <xf numFmtId="0" fontId="13" fillId="25" borderId="27" xfId="0" applyFont="1" applyFill="1" applyBorder="1" applyAlignment="1">
      <alignment horizontal="center" vertical="center"/>
    </xf>
    <xf numFmtId="0" fontId="11" fillId="25" borderId="29" xfId="0" applyFont="1" applyFill="1" applyBorder="1" applyAlignment="1">
      <alignment horizontal="center"/>
    </xf>
    <xf numFmtId="0" fontId="11" fillId="25" borderId="31" xfId="0" applyFont="1" applyFill="1" applyBorder="1" applyAlignment="1">
      <alignment horizontal="center"/>
    </xf>
    <xf numFmtId="0" fontId="11" fillId="23" borderId="0" xfId="1" applyNumberFormat="1" applyFont="1" applyFill="1"/>
    <xf numFmtId="0" fontId="13" fillId="23" borderId="26" xfId="1" applyNumberFormat="1" applyFont="1" applyFill="1" applyBorder="1" applyAlignment="1">
      <alignment horizontal="center" vertical="center"/>
    </xf>
    <xf numFmtId="0" fontId="13" fillId="23" borderId="27" xfId="1" applyNumberFormat="1" applyFont="1" applyFill="1" applyBorder="1" applyAlignment="1">
      <alignment horizontal="center" vertical="center"/>
    </xf>
    <xf numFmtId="0" fontId="11" fillId="23" borderId="25" xfId="1" applyNumberFormat="1" applyFont="1" applyFill="1" applyBorder="1" applyAlignment="1">
      <alignment horizontal="center"/>
    </xf>
    <xf numFmtId="0" fontId="11" fillId="23" borderId="23" xfId="1" applyNumberFormat="1" applyFont="1" applyFill="1" applyBorder="1" applyAlignment="1">
      <alignment horizontal="center"/>
    </xf>
    <xf numFmtId="0" fontId="12" fillId="12" borderId="26" xfId="1" applyNumberFormat="1" applyFont="1" applyFill="1" applyBorder="1" applyAlignment="1">
      <alignment horizontal="center" vertical="center"/>
    </xf>
    <xf numFmtId="0" fontId="12" fillId="12" borderId="27" xfId="1" applyNumberFormat="1" applyFont="1" applyFill="1" applyBorder="1" applyAlignment="1">
      <alignment horizontal="center" vertical="center"/>
    </xf>
    <xf numFmtId="0" fontId="0" fillId="0" borderId="0" xfId="1" applyNumberFormat="1" applyFont="1"/>
    <xf numFmtId="0" fontId="11" fillId="0" borderId="0" xfId="1" applyNumberFormat="1" applyFont="1" applyAlignment="1">
      <alignment horizontal="center"/>
    </xf>
    <xf numFmtId="0" fontId="17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20" fillId="0" borderId="0" xfId="1" applyNumberFormat="1" applyFont="1" applyAlignment="1">
      <alignment horizontal="center"/>
    </xf>
    <xf numFmtId="0" fontId="11" fillId="0" borderId="33" xfId="1" applyNumberFormat="1" applyFont="1" applyBorder="1"/>
    <xf numFmtId="0" fontId="11" fillId="0" borderId="35" xfId="1" applyNumberFormat="1" applyFont="1" applyBorder="1"/>
    <xf numFmtId="0" fontId="11" fillId="0" borderId="23" xfId="1" applyNumberFormat="1" applyFont="1" applyBorder="1"/>
    <xf numFmtId="0" fontId="0" fillId="0" borderId="23" xfId="1" applyNumberFormat="1" applyFont="1" applyBorder="1" applyAlignment="1">
      <alignment horizontal="center"/>
    </xf>
    <xf numFmtId="0" fontId="11" fillId="0" borderId="33" xfId="1" applyNumberFormat="1" applyFont="1" applyBorder="1" applyAlignment="1">
      <alignment horizontal="center"/>
    </xf>
    <xf numFmtId="0" fontId="11" fillId="0" borderId="35" xfId="1" applyNumberFormat="1" applyFont="1" applyBorder="1" applyAlignment="1">
      <alignment horizontal="center"/>
    </xf>
    <xf numFmtId="0" fontId="0" fillId="0" borderId="23" xfId="1" applyNumberFormat="1" applyFont="1" applyBorder="1"/>
    <xf numFmtId="0" fontId="11" fillId="0" borderId="37" xfId="1" applyNumberFormat="1" applyFont="1" applyBorder="1" applyAlignment="1">
      <alignment horizontal="center"/>
    </xf>
    <xf numFmtId="0" fontId="12" fillId="12" borderId="26" xfId="1" applyNumberFormat="1" applyFont="1" applyFill="1" applyBorder="1" applyAlignment="1">
      <alignment horizontal="center" vertical="center" wrapText="1"/>
    </xf>
    <xf numFmtId="0" fontId="12" fillId="12" borderId="24" xfId="1" applyNumberFormat="1" applyFont="1" applyFill="1" applyBorder="1" applyAlignment="1">
      <alignment horizontal="center" vertical="center" wrapText="1"/>
    </xf>
    <xf numFmtId="0" fontId="13" fillId="18" borderId="26" xfId="0" applyNumberFormat="1" applyFont="1" applyFill="1" applyBorder="1" applyAlignment="1">
      <alignment horizontal="center" vertical="center"/>
    </xf>
    <xf numFmtId="0" fontId="13" fillId="0" borderId="26" xfId="0" applyNumberFormat="1" applyFont="1" applyFill="1" applyBorder="1" applyAlignment="1">
      <alignment horizontal="center" vertical="center"/>
    </xf>
    <xf numFmtId="0" fontId="11" fillId="12" borderId="26" xfId="1" applyNumberFormat="1" applyFont="1" applyFill="1" applyBorder="1" applyAlignment="1">
      <alignment horizontal="center" vertical="center" wrapText="1"/>
    </xf>
    <xf numFmtId="0" fontId="13" fillId="17" borderId="26" xfId="0" applyNumberFormat="1" applyFont="1" applyFill="1" applyBorder="1" applyAlignment="1">
      <alignment horizontal="center" vertical="center"/>
    </xf>
    <xf numFmtId="0" fontId="13" fillId="16" borderId="26" xfId="0" applyNumberFormat="1" applyFont="1" applyFill="1" applyBorder="1" applyAlignment="1">
      <alignment horizontal="center" vertical="center"/>
    </xf>
    <xf numFmtId="0" fontId="13" fillId="22" borderId="26" xfId="0" applyNumberFormat="1" applyFont="1" applyFill="1" applyBorder="1" applyAlignment="1">
      <alignment horizontal="center" vertical="center"/>
    </xf>
    <xf numFmtId="0" fontId="12" fillId="12" borderId="27" xfId="1" applyNumberFormat="1" applyFont="1" applyFill="1" applyBorder="1" applyAlignment="1">
      <alignment horizontal="center" vertical="center" wrapText="1"/>
    </xf>
    <xf numFmtId="0" fontId="12" fillId="12" borderId="25" xfId="1" applyNumberFormat="1" applyFont="1" applyFill="1" applyBorder="1" applyAlignment="1">
      <alignment horizontal="center" vertical="center" wrapText="1"/>
    </xf>
    <xf numFmtId="0" fontId="13" fillId="18" borderId="27" xfId="0" applyNumberFormat="1" applyFont="1" applyFill="1" applyBorder="1" applyAlignment="1">
      <alignment horizontal="center" vertical="center"/>
    </xf>
    <xf numFmtId="0" fontId="13" fillId="0" borderId="27" xfId="0" applyNumberFormat="1" applyFont="1" applyFill="1" applyBorder="1" applyAlignment="1">
      <alignment horizontal="center" vertical="center"/>
    </xf>
    <xf numFmtId="0" fontId="11" fillId="12" borderId="27" xfId="1" applyNumberFormat="1" applyFont="1" applyFill="1" applyBorder="1" applyAlignment="1">
      <alignment horizontal="center" vertical="center" wrapText="1"/>
    </xf>
    <xf numFmtId="0" fontId="13" fillId="17" borderId="27" xfId="0" applyNumberFormat="1" applyFont="1" applyFill="1" applyBorder="1" applyAlignment="1">
      <alignment horizontal="center" vertical="center"/>
    </xf>
    <xf numFmtId="0" fontId="13" fillId="16" borderId="27" xfId="0" applyNumberFormat="1" applyFont="1" applyFill="1" applyBorder="1" applyAlignment="1">
      <alignment horizontal="center" vertical="center"/>
    </xf>
    <xf numFmtId="0" fontId="13" fillId="22" borderId="27" xfId="0" applyNumberFormat="1" applyFont="1" applyFill="1" applyBorder="1" applyAlignment="1">
      <alignment horizontal="center" vertical="center"/>
    </xf>
    <xf numFmtId="0" fontId="11" fillId="18" borderId="25" xfId="0" applyNumberFormat="1" applyFont="1" applyFill="1" applyBorder="1" applyAlignment="1">
      <alignment horizontal="center"/>
    </xf>
    <xf numFmtId="0" fontId="11" fillId="0" borderId="25" xfId="0" applyNumberFormat="1" applyFont="1" applyFill="1" applyBorder="1" applyAlignment="1">
      <alignment horizontal="center"/>
    </xf>
    <xf numFmtId="0" fontId="11" fillId="17" borderId="25" xfId="0" applyNumberFormat="1" applyFont="1" applyFill="1" applyBorder="1" applyAlignment="1">
      <alignment horizontal="center"/>
    </xf>
    <xf numFmtId="0" fontId="11" fillId="16" borderId="25" xfId="0" applyNumberFormat="1" applyFont="1" applyFill="1" applyBorder="1" applyAlignment="1">
      <alignment horizontal="center"/>
    </xf>
    <xf numFmtId="0" fontId="11" fillId="22" borderId="25" xfId="0" applyNumberFormat="1" applyFont="1" applyFill="1" applyBorder="1" applyAlignment="1">
      <alignment horizontal="center"/>
    </xf>
    <xf numFmtId="0" fontId="11" fillId="0" borderId="23" xfId="0" applyNumberFormat="1" applyFont="1" applyFill="1" applyBorder="1" applyAlignment="1">
      <alignment horizontal="center"/>
    </xf>
    <xf numFmtId="0" fontId="11" fillId="16" borderId="23" xfId="0" applyNumberFormat="1" applyFont="1" applyFill="1" applyBorder="1" applyAlignment="1">
      <alignment horizontal="center"/>
    </xf>
    <xf numFmtId="0" fontId="11" fillId="22" borderId="23" xfId="0" applyNumberFormat="1" applyFont="1" applyFill="1" applyBorder="1" applyAlignment="1">
      <alignment horizontal="center"/>
    </xf>
    <xf numFmtId="0" fontId="22" fillId="0" borderId="23" xfId="1" applyNumberFormat="1" applyFont="1" applyBorder="1" applyAlignment="1">
      <alignment horizontal="center"/>
    </xf>
    <xf numFmtId="0" fontId="11" fillId="0" borderId="23" xfId="1" applyNumberFormat="1" applyFont="1" applyFill="1" applyBorder="1" applyAlignment="1">
      <alignment horizontal="center" wrapText="1"/>
    </xf>
    <xf numFmtId="0" fontId="17" fillId="0" borderId="23" xfId="1" applyNumberFormat="1" applyFont="1" applyBorder="1" applyAlignment="1">
      <alignment horizontal="center"/>
    </xf>
    <xf numFmtId="0" fontId="20" fillId="0" borderId="23" xfId="1" applyNumberFormat="1" applyFont="1" applyBorder="1" applyAlignment="1">
      <alignment horizontal="center"/>
    </xf>
    <xf numFmtId="0" fontId="23" fillId="0" borderId="23" xfId="1" applyNumberFormat="1" applyFont="1" applyBorder="1" applyAlignment="1">
      <alignment horizontal="center"/>
    </xf>
    <xf numFmtId="0" fontId="18" fillId="0" borderId="0" xfId="1" applyNumberFormat="1" applyFont="1" applyAlignment="1">
      <alignment horizontal="center"/>
    </xf>
    <xf numFmtId="0" fontId="11" fillId="15" borderId="23" xfId="1" applyNumberFormat="1" applyFont="1" applyFill="1" applyBorder="1" applyAlignment="1">
      <alignment horizontal="center"/>
    </xf>
    <xf numFmtId="0" fontId="21" fillId="0" borderId="0" xfId="1" applyNumberFormat="1" applyFont="1" applyAlignment="1">
      <alignment horizontal="center"/>
    </xf>
    <xf numFmtId="0" fontId="11" fillId="0" borderId="24" xfId="1" applyNumberFormat="1" applyFont="1" applyBorder="1"/>
    <xf numFmtId="0" fontId="12" fillId="12" borderId="23" xfId="0" applyNumberFormat="1" applyFont="1" applyFill="1" applyBorder="1" applyAlignment="1">
      <alignment horizontal="center" vertical="center" wrapText="1"/>
    </xf>
    <xf numFmtId="0" fontId="12" fillId="12" borderId="23" xfId="1" applyNumberFormat="1" applyFont="1" applyFill="1" applyBorder="1" applyAlignment="1">
      <alignment horizontal="center" vertical="center" wrapText="1"/>
    </xf>
    <xf numFmtId="0" fontId="13" fillId="0" borderId="24" xfId="0" applyNumberFormat="1" applyFont="1" applyFill="1" applyBorder="1" applyAlignment="1">
      <alignment horizontal="center" vertical="center"/>
    </xf>
    <xf numFmtId="0" fontId="12" fillId="12" borderId="23" xfId="1" applyNumberFormat="1" applyFont="1" applyFill="1" applyBorder="1" applyAlignment="1">
      <alignment horizontal="center" vertical="center"/>
    </xf>
    <xf numFmtId="0" fontId="11" fillId="12" borderId="23" xfId="1" applyNumberFormat="1" applyFont="1" applyFill="1" applyBorder="1" applyAlignment="1">
      <alignment horizontal="center" vertical="center" wrapText="1"/>
    </xf>
    <xf numFmtId="0" fontId="13" fillId="12" borderId="23" xfId="1" applyNumberFormat="1" applyFont="1" applyFill="1" applyBorder="1" applyAlignment="1">
      <alignment horizontal="center" vertical="center"/>
    </xf>
    <xf numFmtId="0" fontId="12" fillId="12" borderId="24" xfId="1" applyNumberFormat="1" applyFont="1" applyFill="1" applyBorder="1" applyAlignment="1">
      <alignment horizontal="center" vertical="center"/>
    </xf>
    <xf numFmtId="0" fontId="12" fillId="24" borderId="23" xfId="0" applyNumberFormat="1" applyFont="1" applyFill="1" applyBorder="1" applyAlignment="1">
      <alignment horizontal="center" vertical="center"/>
    </xf>
    <xf numFmtId="0" fontId="13" fillId="0" borderId="25" xfId="0" applyNumberFormat="1" applyFont="1" applyFill="1" applyBorder="1" applyAlignment="1">
      <alignment horizontal="center" vertical="center"/>
    </xf>
    <xf numFmtId="0" fontId="12" fillId="12" borderId="25" xfId="1" applyNumberFormat="1" applyFont="1" applyFill="1" applyBorder="1" applyAlignment="1">
      <alignment horizontal="center" vertical="center"/>
    </xf>
    <xf numFmtId="0" fontId="14" fillId="13" borderId="23" xfId="0" applyNumberFormat="1" applyFont="1" applyFill="1" applyBorder="1" applyAlignment="1">
      <alignment horizontal="center" vertical="center" wrapText="1"/>
    </xf>
    <xf numFmtId="0" fontId="11" fillId="24" borderId="23" xfId="0" applyNumberFormat="1" applyFont="1" applyFill="1" applyBorder="1" applyAlignment="1">
      <alignment horizontal="center"/>
    </xf>
    <xf numFmtId="0" fontId="15" fillId="13" borderId="23" xfId="0" applyNumberFormat="1" applyFont="1" applyFill="1" applyBorder="1" applyAlignment="1">
      <alignment horizontal="center" vertical="center" wrapText="1"/>
    </xf>
    <xf numFmtId="0" fontId="15" fillId="0" borderId="23" xfId="0" applyNumberFormat="1" applyFont="1" applyBorder="1" applyAlignment="1">
      <alignment horizontal="center" vertical="center" wrapText="1"/>
    </xf>
    <xf numFmtId="0" fontId="15" fillId="14" borderId="23" xfId="0" applyNumberFormat="1" applyFont="1" applyFill="1" applyBorder="1" applyAlignment="1">
      <alignment horizontal="center" vertical="center" wrapText="1"/>
    </xf>
    <xf numFmtId="0" fontId="15" fillId="0" borderId="23" xfId="0" applyNumberFormat="1" applyFont="1" applyFill="1" applyBorder="1" applyAlignment="1">
      <alignment horizontal="center" vertical="center" wrapText="1"/>
    </xf>
    <xf numFmtId="0" fontId="16" fillId="0" borderId="23" xfId="0" applyNumberFormat="1" applyFont="1" applyFill="1" applyBorder="1" applyAlignment="1">
      <alignment horizontal="center" vertical="center" wrapText="1"/>
    </xf>
    <xf numFmtId="0" fontId="16" fillId="0" borderId="23" xfId="1" applyNumberFormat="1" applyFont="1" applyFill="1" applyBorder="1" applyAlignment="1">
      <alignment horizontal="center"/>
    </xf>
    <xf numFmtId="0" fontId="19" fillId="0" borderId="23" xfId="1" applyNumberFormat="1" applyFont="1" applyBorder="1" applyAlignment="1">
      <alignment horizontal="center"/>
    </xf>
    <xf numFmtId="0" fontId="18" fillId="0" borderId="23" xfId="1" applyNumberFormat="1" applyFont="1" applyBorder="1" applyAlignment="1">
      <alignment horizontal="center"/>
    </xf>
    <xf numFmtId="0" fontId="15" fillId="15" borderId="23" xfId="0" applyNumberFormat="1" applyFont="1" applyFill="1" applyBorder="1" applyAlignment="1">
      <alignment horizontal="center" vertical="center" wrapText="1"/>
    </xf>
    <xf numFmtId="0" fontId="15" fillId="0" borderId="23" xfId="0" applyNumberFormat="1" applyFont="1" applyFill="1" applyBorder="1" applyAlignment="1">
      <alignment horizontal="center" wrapText="1"/>
    </xf>
    <xf numFmtId="0" fontId="0" fillId="0" borderId="23" xfId="1" applyNumberFormat="1" applyFont="1" applyFill="1" applyBorder="1" applyAlignment="1">
      <alignment horizontal="center"/>
    </xf>
    <xf numFmtId="0" fontId="11" fillId="14" borderId="23" xfId="0" applyNumberFormat="1" applyFont="1" applyFill="1" applyBorder="1" applyAlignment="1">
      <alignment horizontal="center" wrapText="1"/>
    </xf>
    <xf numFmtId="0" fontId="15" fillId="0" borderId="23" xfId="1" applyNumberFormat="1" applyFont="1" applyFill="1" applyBorder="1" applyAlignment="1">
      <alignment horizontal="center" vertical="center" wrapText="1"/>
    </xf>
    <xf numFmtId="0" fontId="15" fillId="0" borderId="23" xfId="0" applyNumberFormat="1" applyFont="1" applyFill="1" applyBorder="1" applyAlignment="1">
      <alignment horizontal="center" vertical="top" wrapText="1"/>
    </xf>
    <xf numFmtId="0" fontId="11" fillId="14" borderId="23" xfId="0" applyNumberFormat="1" applyFont="1" applyFill="1" applyBorder="1" applyAlignment="1">
      <alignment horizontal="center"/>
    </xf>
    <xf numFmtId="0" fontId="21" fillId="0" borderId="23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0"/>
  <sheetViews>
    <sheetView tabSelected="1" zoomScale="50" zoomScaleNormal="50" workbookViewId="0">
      <selection activeCell="G19" sqref="G19"/>
    </sheetView>
  </sheetViews>
  <sheetFormatPr defaultColWidth="9.6640625" defaultRowHeight="15" customHeight="1"/>
  <cols>
    <col min="1" max="1" width="3.88671875" style="62" customWidth="1"/>
    <col min="2" max="2" width="16.5546875" style="62" bestFit="1" customWidth="1"/>
    <col min="3" max="3" width="20.6640625" style="63" bestFit="1" customWidth="1"/>
    <col min="4" max="4" width="19.77734375" style="63" customWidth="1"/>
    <col min="5" max="5" width="18" style="63" customWidth="1"/>
    <col min="6" max="6" width="12" style="97" customWidth="1"/>
    <col min="7" max="7" width="19.5546875" style="63" customWidth="1"/>
    <col min="8" max="9" width="20.21875" style="63" customWidth="1"/>
    <col min="10" max="10" width="9.6640625" style="97"/>
    <col min="11" max="11" width="18.5546875" style="64" customWidth="1"/>
    <col min="12" max="12" width="22.88671875" style="63" customWidth="1"/>
    <col min="13" max="13" width="20.21875" style="96" customWidth="1"/>
    <col min="14" max="14" width="12.44140625" style="97" customWidth="1"/>
    <col min="15" max="15" width="12.44140625" style="98" customWidth="1"/>
    <col min="16" max="16" width="12.44140625" style="99" customWidth="1"/>
    <col min="17" max="18" width="20.6640625" style="63" bestFit="1" customWidth="1"/>
    <col min="19" max="19" width="15.5546875" style="115" customWidth="1"/>
    <col min="20" max="20" width="18.6640625" style="63" customWidth="1"/>
    <col min="21" max="21" width="17.33203125" style="63" customWidth="1"/>
    <col min="22" max="22" width="12.77734375" style="118" customWidth="1"/>
    <col min="23" max="16384" width="9.6640625" style="62"/>
  </cols>
  <sheetData>
    <row r="1" spans="2:22" ht="15.75"/>
    <row r="2" spans="2:22" ht="16.5" customHeight="1">
      <c r="B2" s="189" t="s">
        <v>0</v>
      </c>
      <c r="C2" s="190" t="s">
        <v>1</v>
      </c>
      <c r="D2" s="190" t="s">
        <v>2</v>
      </c>
      <c r="E2" s="190" t="s">
        <v>3</v>
      </c>
      <c r="F2" s="112" t="s">
        <v>4</v>
      </c>
      <c r="G2" s="190" t="s">
        <v>199</v>
      </c>
      <c r="H2" s="190" t="s">
        <v>200</v>
      </c>
      <c r="I2" s="157" t="s">
        <v>341</v>
      </c>
      <c r="J2" s="113" t="s">
        <v>5</v>
      </c>
      <c r="K2" s="191" t="s">
        <v>203</v>
      </c>
      <c r="L2" s="192" t="s">
        <v>201</v>
      </c>
      <c r="M2" s="193" t="s">
        <v>202</v>
      </c>
      <c r="N2" s="100" t="s">
        <v>6</v>
      </c>
      <c r="O2" s="101" t="s">
        <v>7</v>
      </c>
      <c r="P2" s="102" t="s">
        <v>8</v>
      </c>
      <c r="Q2" s="194" t="s">
        <v>9</v>
      </c>
      <c r="R2" s="194" t="s">
        <v>10</v>
      </c>
      <c r="S2" s="116" t="s">
        <v>11</v>
      </c>
      <c r="T2" s="195" t="s">
        <v>342</v>
      </c>
      <c r="U2" s="194" t="s">
        <v>13</v>
      </c>
      <c r="V2" s="196" t="s">
        <v>14</v>
      </c>
    </row>
    <row r="3" spans="2:22" ht="29.25" customHeight="1">
      <c r="B3" s="189"/>
      <c r="C3" s="190"/>
      <c r="D3" s="190"/>
      <c r="E3" s="190"/>
      <c r="F3" s="112"/>
      <c r="G3" s="190"/>
      <c r="H3" s="190"/>
      <c r="I3" s="165"/>
      <c r="J3" s="113"/>
      <c r="K3" s="197"/>
      <c r="L3" s="192"/>
      <c r="M3" s="193"/>
      <c r="N3" s="103"/>
      <c r="O3" s="104"/>
      <c r="P3" s="105"/>
      <c r="Q3" s="194"/>
      <c r="R3" s="194"/>
      <c r="S3" s="116"/>
      <c r="T3" s="198"/>
      <c r="U3" s="194"/>
      <c r="V3" s="196"/>
    </row>
    <row r="4" spans="2:22" ht="31.5">
      <c r="B4" s="199" t="s">
        <v>15</v>
      </c>
      <c r="C4" s="94"/>
      <c r="D4" s="94"/>
      <c r="E4" s="94"/>
      <c r="F4" s="106" t="e">
        <f>(C4-D4)/E4</f>
        <v>#DIV/0!</v>
      </c>
      <c r="G4" s="94"/>
      <c r="H4" s="94"/>
      <c r="I4" s="94"/>
      <c r="J4" s="106">
        <v>360</v>
      </c>
      <c r="K4" s="177"/>
      <c r="L4" s="94"/>
      <c r="M4" s="144"/>
      <c r="N4" s="106">
        <v>360</v>
      </c>
      <c r="O4" s="107"/>
      <c r="P4" s="108"/>
      <c r="Q4" s="94"/>
      <c r="R4" s="94"/>
      <c r="S4" s="117">
        <f>Q4-R4</f>
        <v>0</v>
      </c>
      <c r="T4" s="94"/>
      <c r="U4" s="94"/>
      <c r="V4" s="200" t="e">
        <f>#REF!/U4</f>
        <v>#REF!</v>
      </c>
    </row>
    <row r="5" spans="2:22" ht="15.75">
      <c r="B5" s="201" t="s">
        <v>16</v>
      </c>
      <c r="C5" s="94"/>
      <c r="D5" s="94"/>
      <c r="E5" s="94"/>
      <c r="F5" s="106"/>
      <c r="G5" s="94"/>
      <c r="H5" s="94"/>
      <c r="I5" s="94"/>
      <c r="J5" s="106"/>
      <c r="K5" s="177"/>
      <c r="L5" s="94"/>
      <c r="M5" s="94"/>
      <c r="N5" s="106"/>
      <c r="O5" s="107"/>
      <c r="P5" s="108"/>
      <c r="Q5" s="94"/>
      <c r="R5" s="94"/>
      <c r="S5" s="117"/>
      <c r="T5" s="94"/>
      <c r="U5" s="94"/>
      <c r="V5" s="200"/>
    </row>
    <row r="6" spans="2:22" ht="31.5">
      <c r="B6" s="202" t="s">
        <v>204</v>
      </c>
      <c r="C6" s="94">
        <v>2266189</v>
      </c>
      <c r="D6" s="94">
        <v>3807545</v>
      </c>
      <c r="E6" s="94">
        <v>17199304</v>
      </c>
      <c r="F6" s="106">
        <f t="shared" ref="F6:F69" si="0">(C6-D6)/E6</f>
        <v>-8.9617347306611944E-2</v>
      </c>
      <c r="G6" s="94">
        <v>628857</v>
      </c>
      <c r="H6" s="94">
        <v>6707347</v>
      </c>
      <c r="I6" s="94">
        <v>360</v>
      </c>
      <c r="J6" s="106">
        <f>$J$4/(H6/G6)</f>
        <v>33.752319657831926</v>
      </c>
      <c r="K6" s="177">
        <f>T6</f>
        <v>8617335</v>
      </c>
      <c r="L6" s="94">
        <f>23+1035254</f>
        <v>1035277</v>
      </c>
      <c r="M6" s="95">
        <v>9483612</v>
      </c>
      <c r="N6" s="109">
        <f>(I6)/(M6/L6)</f>
        <v>39.299342908587988</v>
      </c>
      <c r="O6" s="110">
        <f>(J6)/(I6/N6)</f>
        <v>3.684566622759478</v>
      </c>
      <c r="P6" s="111">
        <f>J6+N6-O6</f>
        <v>69.367095943660431</v>
      </c>
      <c r="Q6" s="94">
        <v>14933115</v>
      </c>
      <c r="R6" s="94">
        <v>12835545</v>
      </c>
      <c r="S6" s="117">
        <f>Q6-R6</f>
        <v>2097570</v>
      </c>
      <c r="T6" s="94">
        <v>8617335</v>
      </c>
      <c r="U6" s="94">
        <v>8581969</v>
      </c>
      <c r="V6" s="200">
        <f>T6/U6</f>
        <v>1.0041209657131132</v>
      </c>
    </row>
    <row r="7" spans="2:22" ht="31.5">
      <c r="B7" s="202" t="s">
        <v>205</v>
      </c>
      <c r="C7" s="94">
        <v>16087370</v>
      </c>
      <c r="D7" s="94">
        <v>3260559</v>
      </c>
      <c r="E7" s="94">
        <v>28884635</v>
      </c>
      <c r="F7" s="106">
        <f t="shared" si="0"/>
        <v>0.44407038551811367</v>
      </c>
      <c r="G7" s="94">
        <v>1665546</v>
      </c>
      <c r="H7" s="94">
        <v>10890037</v>
      </c>
      <c r="I7" s="94">
        <v>360</v>
      </c>
      <c r="J7" s="106">
        <f>$J$4/(H7/G7)</f>
        <v>55.059184831052455</v>
      </c>
      <c r="K7" s="177">
        <f>T7</f>
        <v>4307622</v>
      </c>
      <c r="L7" s="94">
        <f>31441+2639552</f>
        <v>2670993</v>
      </c>
      <c r="M7" s="94">
        <v>19996264</v>
      </c>
      <c r="N7" s="109">
        <f t="shared" ref="N7:N70" si="1">(I7)/(M7/L7)</f>
        <v>48.086856624817514</v>
      </c>
      <c r="O7" s="110">
        <f>(J7)/(I7/N7)</f>
        <v>7.3545086856948521</v>
      </c>
      <c r="P7" s="111">
        <f t="shared" ref="P7:P70" si="2">J7+N7-O7</f>
        <v>95.791532770175124</v>
      </c>
      <c r="Q7" s="94">
        <v>12797265</v>
      </c>
      <c r="R7" s="94">
        <v>9763886</v>
      </c>
      <c r="S7" s="117">
        <f t="shared" ref="S7:S70" si="3">Q7-R7</f>
        <v>3033379</v>
      </c>
      <c r="T7" s="94">
        <v>4307622</v>
      </c>
      <c r="U7" s="94">
        <v>24577013</v>
      </c>
      <c r="V7" s="200">
        <f t="shared" ref="V7:V70" si="4">T7/U7</f>
        <v>0.17527036340827912</v>
      </c>
    </row>
    <row r="8" spans="2:22" ht="31.5">
      <c r="B8" s="202" t="s">
        <v>206</v>
      </c>
      <c r="C8" s="94">
        <v>2335768747</v>
      </c>
      <c r="D8" s="94">
        <v>179749240</v>
      </c>
      <c r="E8" s="94">
        <v>2928480366</v>
      </c>
      <c r="F8" s="106">
        <f t="shared" si="0"/>
        <v>0.7362246754431544</v>
      </c>
      <c r="G8" s="94">
        <v>187421121</v>
      </c>
      <c r="H8" s="94">
        <v>835735508</v>
      </c>
      <c r="I8" s="94">
        <v>360</v>
      </c>
      <c r="J8" s="106">
        <f>$J$4/(H8/G8)</f>
        <v>80.733201968965531</v>
      </c>
      <c r="K8" s="177">
        <f>T8</f>
        <v>245388549</v>
      </c>
      <c r="L8" s="94">
        <f>76654031+3899215</f>
        <v>80553246</v>
      </c>
      <c r="M8" s="94">
        <v>1214914932</v>
      </c>
      <c r="N8" s="109">
        <f t="shared" si="1"/>
        <v>23.869299649039132</v>
      </c>
      <c r="O8" s="110">
        <f>(J8)/(I8/N8)</f>
        <v>5.3529027483989839</v>
      </c>
      <c r="P8" s="111">
        <f t="shared" si="2"/>
        <v>99.249598869605677</v>
      </c>
      <c r="Q8" s="94">
        <v>592711619</v>
      </c>
      <c r="R8" s="94">
        <v>604774948</v>
      </c>
      <c r="S8" s="117">
        <f t="shared" si="3"/>
        <v>-12063329</v>
      </c>
      <c r="T8" s="94">
        <f>179749240+65639309</f>
        <v>245388549</v>
      </c>
      <c r="U8" s="94">
        <v>2683091817</v>
      </c>
      <c r="V8" s="200">
        <f t="shared" si="4"/>
        <v>9.145738041658677E-2</v>
      </c>
    </row>
    <row r="9" spans="2:22" ht="31.5">
      <c r="B9" s="202" t="s">
        <v>207</v>
      </c>
      <c r="C9" s="94">
        <v>11648544675</v>
      </c>
      <c r="D9" s="94">
        <v>5271929548</v>
      </c>
      <c r="E9" s="94">
        <v>34331674737</v>
      </c>
      <c r="F9" s="106">
        <f t="shared" si="0"/>
        <v>0.18573562681833816</v>
      </c>
      <c r="G9" s="94">
        <v>2811704405</v>
      </c>
      <c r="H9" s="94">
        <v>15408157860</v>
      </c>
      <c r="I9" s="94">
        <v>360</v>
      </c>
      <c r="J9" s="106">
        <f>$J$4/(H9/G9)</f>
        <v>65.693355104294085</v>
      </c>
      <c r="K9" s="177">
        <f>T9</f>
        <v>9326744733</v>
      </c>
      <c r="L9" s="94">
        <f>2553653508+747593796</f>
        <v>3301247304</v>
      </c>
      <c r="M9" s="94">
        <v>26987035135</v>
      </c>
      <c r="N9" s="109">
        <f t="shared" si="1"/>
        <v>44.037776787813115</v>
      </c>
      <c r="O9" s="110">
        <f>(J9)/(I9/N9)</f>
        <v>8.0360814125706845</v>
      </c>
      <c r="P9" s="111">
        <f t="shared" si="2"/>
        <v>101.69505047953652</v>
      </c>
      <c r="Q9" s="94">
        <v>22683130062</v>
      </c>
      <c r="R9" s="94">
        <v>20860992407</v>
      </c>
      <c r="S9" s="117">
        <f t="shared" si="3"/>
        <v>1822137655</v>
      </c>
      <c r="T9" s="94">
        <v>9326744733</v>
      </c>
      <c r="U9" s="94">
        <v>25004930004</v>
      </c>
      <c r="V9" s="200">
        <f t="shared" si="4"/>
        <v>0.37299623440289637</v>
      </c>
    </row>
    <row r="10" spans="2:22" ht="31.5">
      <c r="B10" s="202" t="s">
        <v>208</v>
      </c>
      <c r="C10" s="94">
        <v>9481209413</v>
      </c>
      <c r="D10" s="94">
        <v>8476042469</v>
      </c>
      <c r="E10" s="94">
        <v>15909219757</v>
      </c>
      <c r="F10" s="106">
        <f t="shared" si="0"/>
        <v>6.3181410487320108E-2</v>
      </c>
      <c r="G10" s="94">
        <v>817307342</v>
      </c>
      <c r="H10" s="94">
        <v>11038646789</v>
      </c>
      <c r="I10" s="94">
        <v>360</v>
      </c>
      <c r="J10" s="106">
        <f>$J$4/(H10/G10)</f>
        <v>26.654593515321146</v>
      </c>
      <c r="K10" s="177">
        <f>T10</f>
        <v>11032465016</v>
      </c>
      <c r="L10" s="94">
        <f>1271025540+691807092</f>
        <v>1962832632</v>
      </c>
      <c r="M10" s="94">
        <v>12463216288</v>
      </c>
      <c r="N10" s="109">
        <f t="shared" si="1"/>
        <v>56.696420184921045</v>
      </c>
      <c r="O10" s="110">
        <f>(J10)/(I10/N10)</f>
        <v>4.1978334272303321</v>
      </c>
      <c r="P10" s="111">
        <f t="shared" si="2"/>
        <v>79.153180273011856</v>
      </c>
      <c r="Q10" s="94">
        <v>6428010344</v>
      </c>
      <c r="R10" s="94">
        <v>4635426070</v>
      </c>
      <c r="S10" s="117">
        <f t="shared" si="3"/>
        <v>1792584274</v>
      </c>
      <c r="T10" s="94">
        <v>11032465016</v>
      </c>
      <c r="U10" s="94">
        <v>4876754741</v>
      </c>
      <c r="V10" s="200">
        <f t="shared" si="4"/>
        <v>2.2622554550975318</v>
      </c>
    </row>
    <row r="11" spans="2:22" ht="31.5">
      <c r="B11" s="203" t="s">
        <v>22</v>
      </c>
      <c r="C11" s="94"/>
      <c r="D11" s="94"/>
      <c r="E11" s="94"/>
      <c r="F11" s="106" t="e">
        <f t="shared" si="0"/>
        <v>#DIV/0!</v>
      </c>
      <c r="G11" s="94"/>
      <c r="H11" s="94"/>
      <c r="I11" s="94"/>
      <c r="J11" s="106" t="e">
        <f>$J$4/(H11/G11)</f>
        <v>#DIV/0!</v>
      </c>
      <c r="K11" s="177">
        <f>T11</f>
        <v>0</v>
      </c>
      <c r="L11" s="94"/>
      <c r="M11" s="94"/>
      <c r="N11" s="109" t="e">
        <f t="shared" si="1"/>
        <v>#DIV/0!</v>
      </c>
      <c r="O11" s="110" t="e">
        <f>(J11)/(I11/N11)</f>
        <v>#DIV/0!</v>
      </c>
      <c r="P11" s="111" t="e">
        <f t="shared" si="2"/>
        <v>#DIV/0!</v>
      </c>
      <c r="Q11" s="94"/>
      <c r="R11" s="94"/>
      <c r="S11" s="117">
        <f t="shared" si="3"/>
        <v>0</v>
      </c>
      <c r="T11" s="94"/>
      <c r="U11" s="94"/>
      <c r="V11" s="200" t="e">
        <f t="shared" si="4"/>
        <v>#DIV/0!</v>
      </c>
    </row>
    <row r="12" spans="2:22" ht="31.5">
      <c r="B12" s="204" t="s">
        <v>209</v>
      </c>
      <c r="C12" s="94">
        <v>507458459958</v>
      </c>
      <c r="D12" s="94">
        <v>315672948473</v>
      </c>
      <c r="E12" s="94">
        <v>1259938133543</v>
      </c>
      <c r="F12" s="106">
        <f t="shared" si="0"/>
        <v>0.1522181973694938</v>
      </c>
      <c r="G12" s="94">
        <v>58178336958</v>
      </c>
      <c r="H12" s="94">
        <v>1087606057608</v>
      </c>
      <c r="I12" s="94">
        <v>360</v>
      </c>
      <c r="J12" s="106">
        <f>$J$4/(H12/G12)</f>
        <v>19.257157643037701</v>
      </c>
      <c r="K12" s="177">
        <f>T12</f>
        <v>349995874987</v>
      </c>
      <c r="L12" s="94">
        <f>372846558039+17291270393</f>
        <v>390137828432</v>
      </c>
      <c r="M12" s="94">
        <v>1609758677687</v>
      </c>
      <c r="N12" s="109">
        <f t="shared" si="1"/>
        <v>87.248865424553344</v>
      </c>
      <c r="O12" s="110">
        <f>(J12)/(I12/N12)</f>
        <v>4.6671254323800149</v>
      </c>
      <c r="P12" s="111">
        <f t="shared" si="2"/>
        <v>101.83889763521103</v>
      </c>
      <c r="Q12" s="94">
        <v>752479673585</v>
      </c>
      <c r="R12" s="94">
        <v>732391013116</v>
      </c>
      <c r="S12" s="117">
        <f t="shared" si="3"/>
        <v>20088660469</v>
      </c>
      <c r="T12" s="94">
        <v>349995874987</v>
      </c>
      <c r="U12" s="94">
        <v>909942258556</v>
      </c>
      <c r="V12" s="200">
        <f t="shared" si="4"/>
        <v>0.38463525756284067</v>
      </c>
    </row>
    <row r="13" spans="2:22" ht="31.5">
      <c r="B13" s="204" t="s">
        <v>210</v>
      </c>
      <c r="C13" s="94">
        <v>2263728</v>
      </c>
      <c r="D13" s="94">
        <v>398238</v>
      </c>
      <c r="E13" s="94">
        <v>3946125</v>
      </c>
      <c r="F13" s="106">
        <f t="shared" si="0"/>
        <v>0.47273971300959805</v>
      </c>
      <c r="G13" s="94">
        <v>745048</v>
      </c>
      <c r="H13" s="94">
        <v>2760739</v>
      </c>
      <c r="I13" s="94">
        <v>360</v>
      </c>
      <c r="J13" s="106">
        <f>$J$4/(H13/G13)</f>
        <v>97.154160534552517</v>
      </c>
      <c r="K13" s="177">
        <f>T13</f>
        <v>844685</v>
      </c>
      <c r="L13" s="94">
        <v>354306</v>
      </c>
      <c r="M13" s="94">
        <v>3672186</v>
      </c>
      <c r="N13" s="109">
        <f t="shared" si="1"/>
        <v>34.734122944752798</v>
      </c>
      <c r="O13" s="110">
        <f>(J13)/(I13/N13)</f>
        <v>9.3737904350038814</v>
      </c>
      <c r="P13" s="111">
        <f t="shared" si="2"/>
        <v>122.51449304430142</v>
      </c>
      <c r="Q13" s="94">
        <v>1682397</v>
      </c>
      <c r="R13" s="94">
        <v>1581568</v>
      </c>
      <c r="S13" s="117">
        <f t="shared" si="3"/>
        <v>100829</v>
      </c>
      <c r="T13" s="94">
        <v>844685</v>
      </c>
      <c r="U13" s="94">
        <v>3101440</v>
      </c>
      <c r="V13" s="200">
        <f t="shared" si="4"/>
        <v>0.27235252011968636</v>
      </c>
    </row>
    <row r="14" spans="2:22" ht="31.5">
      <c r="B14" s="204" t="s">
        <v>211</v>
      </c>
      <c r="C14" s="94">
        <v>173235120969</v>
      </c>
      <c r="D14" s="94">
        <v>207131011654</v>
      </c>
      <c r="E14" s="94">
        <v>518546655125</v>
      </c>
      <c r="F14" s="106">
        <f t="shared" si="0"/>
        <v>-6.5367099276398014E-2</v>
      </c>
      <c r="G14" s="94">
        <v>114180905444</v>
      </c>
      <c r="H14" s="94">
        <v>235884781640</v>
      </c>
      <c r="I14" s="94">
        <v>360</v>
      </c>
      <c r="J14" s="106">
        <f>$J$4/(H14/G14)</f>
        <v>174.25933828394813</v>
      </c>
      <c r="K14" s="177">
        <f>T14</f>
        <v>339205569170</v>
      </c>
      <c r="L14" s="94">
        <v>44453295315</v>
      </c>
      <c r="M14" s="94">
        <v>262321356543</v>
      </c>
      <c r="N14" s="109">
        <f t="shared" si="1"/>
        <v>61.006036734095417</v>
      </c>
      <c r="O14" s="110">
        <f>(J14)/(I14/N14)</f>
        <v>29.530198868360277</v>
      </c>
      <c r="P14" s="111">
        <f t="shared" si="2"/>
        <v>205.73517614968324</v>
      </c>
      <c r="Q14" s="94">
        <v>345311534156</v>
      </c>
      <c r="R14" s="94">
        <v>347247222641</v>
      </c>
      <c r="S14" s="117">
        <f t="shared" si="3"/>
        <v>-1935688485</v>
      </c>
      <c r="T14" s="94">
        <v>339205569170</v>
      </c>
      <c r="U14" s="94">
        <v>179341085957</v>
      </c>
      <c r="V14" s="200">
        <f t="shared" si="4"/>
        <v>1.8913991033339128</v>
      </c>
    </row>
    <row r="15" spans="2:22" ht="31.5">
      <c r="B15" s="204" t="s">
        <v>212</v>
      </c>
      <c r="C15" s="94">
        <v>794630081171</v>
      </c>
      <c r="D15" s="94">
        <v>141466051713</v>
      </c>
      <c r="E15" s="94">
        <v>2268246639101</v>
      </c>
      <c r="F15" s="106">
        <f t="shared" si="0"/>
        <v>0.28795987975843579</v>
      </c>
      <c r="G15" s="94">
        <v>253388318743</v>
      </c>
      <c r="H15" s="94">
        <v>762343544161</v>
      </c>
      <c r="I15" s="94">
        <v>360</v>
      </c>
      <c r="J15" s="106">
        <f>$J$4/(H15/G15)</f>
        <v>119.65706989474448</v>
      </c>
      <c r="K15" s="177">
        <f>T15</f>
        <v>249533735885</v>
      </c>
      <c r="L15" s="94">
        <f>288612180659+5929738002</f>
        <v>294541918661</v>
      </c>
      <c r="M15" s="94">
        <v>898976979994</v>
      </c>
      <c r="N15" s="109">
        <f t="shared" si="1"/>
        <v>117.95084087544456</v>
      </c>
      <c r="O15" s="110">
        <f>(J15)/(I15/N15)</f>
        <v>39.204588918824868</v>
      </c>
      <c r="P15" s="111">
        <f t="shared" si="2"/>
        <v>198.40332185136418</v>
      </c>
      <c r="Q15" s="94">
        <v>1473618557930</v>
      </c>
      <c r="R15" s="94">
        <v>1464952959843</v>
      </c>
      <c r="S15" s="117">
        <f t="shared" si="3"/>
        <v>8665598087</v>
      </c>
      <c r="T15" s="94">
        <v>249533735885</v>
      </c>
      <c r="U15" s="94">
        <v>2018712903216</v>
      </c>
      <c r="V15" s="200">
        <f t="shared" si="4"/>
        <v>0.12361031402111178</v>
      </c>
    </row>
    <row r="16" spans="2:22" ht="31.5">
      <c r="B16" s="204" t="s">
        <v>213</v>
      </c>
      <c r="C16" s="94">
        <v>1628326016</v>
      </c>
      <c r="D16" s="94">
        <v>14602013369</v>
      </c>
      <c r="E16" s="94">
        <v>7220918333</v>
      </c>
      <c r="F16" s="106">
        <f t="shared" si="0"/>
        <v>-1.7966810805364637</v>
      </c>
      <c r="G16" s="94">
        <v>830802449</v>
      </c>
      <c r="H16" s="94">
        <v>4360614925</v>
      </c>
      <c r="I16" s="94">
        <v>360</v>
      </c>
      <c r="J16" s="106">
        <f>$J$4/(H16/G16)</f>
        <v>68.588693747132467</v>
      </c>
      <c r="K16" s="177">
        <f>T16</f>
        <v>6062563787</v>
      </c>
      <c r="L16" s="94">
        <v>528607050</v>
      </c>
      <c r="M16" s="94">
        <v>5629696723</v>
      </c>
      <c r="N16" s="109">
        <f t="shared" si="1"/>
        <v>33.80262691994394</v>
      </c>
      <c r="O16" s="110">
        <f>(J16)/(I16/N16)</f>
        <v>6.440216737946141</v>
      </c>
      <c r="P16" s="111">
        <f t="shared" si="2"/>
        <v>95.951103929130255</v>
      </c>
      <c r="Q16" s="94">
        <v>5592592317</v>
      </c>
      <c r="R16" s="94">
        <v>5689848310</v>
      </c>
      <c r="S16" s="117">
        <f t="shared" si="3"/>
        <v>-97255993</v>
      </c>
      <c r="T16" s="94">
        <v>6062563787</v>
      </c>
      <c r="U16" s="94">
        <v>1158354546</v>
      </c>
      <c r="V16" s="200">
        <f t="shared" si="4"/>
        <v>5.2337721709947003</v>
      </c>
    </row>
    <row r="17" spans="2:22" ht="31.5">
      <c r="B17" s="204" t="s">
        <v>214</v>
      </c>
      <c r="C17" s="94">
        <v>1115004308039</v>
      </c>
      <c r="D17" s="94">
        <v>528814814904</v>
      </c>
      <c r="E17" s="94">
        <v>2062386924390</v>
      </c>
      <c r="F17" s="106">
        <f t="shared" si="0"/>
        <v>0.28422867028619253</v>
      </c>
      <c r="G17" s="94">
        <v>452112191566</v>
      </c>
      <c r="H17" s="94">
        <v>1522595960036</v>
      </c>
      <c r="I17" s="94">
        <v>360</v>
      </c>
      <c r="J17" s="106">
        <f>$J$4/(H17/G17)</f>
        <v>106.89663787096329</v>
      </c>
      <c r="K17" s="177">
        <f>T17</f>
        <v>936489293896</v>
      </c>
      <c r="L17" s="94">
        <f>509077007660+10455121466</f>
        <v>519532129126</v>
      </c>
      <c r="M17" s="94">
        <v>2053630374083</v>
      </c>
      <c r="N17" s="109">
        <f t="shared" si="1"/>
        <v>91.073626902735356</v>
      </c>
      <c r="O17" s="110">
        <f>(J17)/(I17/N17)</f>
        <v>27.042956985047002</v>
      </c>
      <c r="P17" s="111">
        <f t="shared" si="2"/>
        <v>170.92730778865166</v>
      </c>
      <c r="Q17" s="94">
        <v>947382616351</v>
      </c>
      <c r="R17" s="94">
        <v>673903690965</v>
      </c>
      <c r="S17" s="117">
        <f t="shared" si="3"/>
        <v>273478925386</v>
      </c>
      <c r="T17" s="94">
        <v>936489293896</v>
      </c>
      <c r="U17" s="94">
        <v>1125897630494</v>
      </c>
      <c r="V17" s="200">
        <f t="shared" si="4"/>
        <v>0.83177126279687164</v>
      </c>
    </row>
    <row r="18" spans="2:22" ht="31.5">
      <c r="B18" s="203" t="s">
        <v>29</v>
      </c>
      <c r="C18" s="94"/>
      <c r="D18" s="94"/>
      <c r="E18" s="94"/>
      <c r="F18" s="106" t="e">
        <f t="shared" si="0"/>
        <v>#DIV/0!</v>
      </c>
      <c r="G18" s="94"/>
      <c r="H18" s="94"/>
      <c r="I18" s="94"/>
      <c r="J18" s="106" t="e">
        <f>$J$4/(H18/G18)</f>
        <v>#DIV/0!</v>
      </c>
      <c r="K18" s="177">
        <f>T18</f>
        <v>0</v>
      </c>
      <c r="L18" s="94"/>
      <c r="M18" s="94"/>
      <c r="N18" s="109" t="e">
        <f t="shared" si="1"/>
        <v>#DIV/0!</v>
      </c>
      <c r="O18" s="110" t="e">
        <f>(J18)/(I18/N18)</f>
        <v>#DIV/0!</v>
      </c>
      <c r="P18" s="111" t="e">
        <f t="shared" si="2"/>
        <v>#DIV/0!</v>
      </c>
      <c r="Q18" s="94"/>
      <c r="R18" s="94"/>
      <c r="S18" s="117">
        <f t="shared" si="3"/>
        <v>0</v>
      </c>
      <c r="T18" s="94"/>
      <c r="U18" s="94"/>
      <c r="V18" s="200" t="e">
        <f t="shared" si="4"/>
        <v>#DIV/0!</v>
      </c>
    </row>
    <row r="19" spans="2:22" s="64" customFormat="1" ht="31.5">
      <c r="B19" s="204" t="s">
        <v>215</v>
      </c>
      <c r="C19" s="95">
        <v>215811942</v>
      </c>
      <c r="D19" s="95">
        <v>173276661</v>
      </c>
      <c r="E19" s="95">
        <v>245297737</v>
      </c>
      <c r="F19" s="106">
        <f t="shared" si="0"/>
        <v>0.1734026637188259</v>
      </c>
      <c r="G19" s="95">
        <v>16738946</v>
      </c>
      <c r="H19" s="95">
        <v>1208701425</v>
      </c>
      <c r="I19" s="95">
        <v>360</v>
      </c>
      <c r="J19" s="106">
        <f>$J$4/(H19/G19)</f>
        <v>4.9855327671182312</v>
      </c>
      <c r="K19" s="177">
        <f>T19</f>
        <v>183316853</v>
      </c>
      <c r="L19" s="95">
        <f>38669541+124775626</f>
        <v>163445167</v>
      </c>
      <c r="M19" s="95">
        <v>1230364713</v>
      </c>
      <c r="N19" s="109">
        <f t="shared" si="1"/>
        <v>47.82342950695466</v>
      </c>
      <c r="O19" s="110">
        <f>(J19)/(I19/N19)</f>
        <v>0.66229243011914263</v>
      </c>
      <c r="P19" s="111">
        <f t="shared" si="2"/>
        <v>52.146669843953745</v>
      </c>
      <c r="Q19" s="95">
        <v>29485795</v>
      </c>
      <c r="R19" s="95">
        <v>25027421</v>
      </c>
      <c r="S19" s="117">
        <f t="shared" si="3"/>
        <v>4458374</v>
      </c>
      <c r="T19" s="95">
        <f>173276661+10040192</f>
        <v>183316853</v>
      </c>
      <c r="U19" s="95">
        <v>61980884</v>
      </c>
      <c r="V19" s="200">
        <f t="shared" si="4"/>
        <v>2.9576353412448908</v>
      </c>
    </row>
    <row r="20" spans="2:22" s="64" customFormat="1" ht="45" customHeight="1">
      <c r="B20" s="204" t="s">
        <v>216</v>
      </c>
      <c r="C20" s="95">
        <v>2428213309959</v>
      </c>
      <c r="D20" s="151">
        <v>2370051137523</v>
      </c>
      <c r="E20" s="95">
        <v>3217113857871</v>
      </c>
      <c r="F20" s="106">
        <f t="shared" si="0"/>
        <v>1.8078990985569338E-2</v>
      </c>
      <c r="G20" s="151">
        <v>1330722084741</v>
      </c>
      <c r="H20" s="151">
        <v>3170079666494</v>
      </c>
      <c r="I20" s="95">
        <v>360</v>
      </c>
      <c r="J20" s="106">
        <f>$J$4/(H20/G20)</f>
        <v>151.11921494281688</v>
      </c>
      <c r="K20" s="177">
        <f>T20</f>
        <v>2602503860226</v>
      </c>
      <c r="L20" s="95">
        <f>157242707899+121510103765</f>
        <v>278752811664</v>
      </c>
      <c r="M20" s="95">
        <v>3336087554837</v>
      </c>
      <c r="N20" s="109">
        <f t="shared" si="1"/>
        <v>30.080449193709221</v>
      </c>
      <c r="O20" s="110">
        <f>(J20)/(I20/N20)</f>
        <v>12.627038520223962</v>
      </c>
      <c r="P20" s="111">
        <f t="shared" si="2"/>
        <v>168.57262561630216</v>
      </c>
      <c r="Q20" s="151">
        <v>788900547912</v>
      </c>
      <c r="R20" s="151">
        <v>821490600380</v>
      </c>
      <c r="S20" s="117">
        <f t="shared" si="3"/>
        <v>-32590052468</v>
      </c>
      <c r="T20" s="151">
        <v>2602503860226</v>
      </c>
      <c r="U20" s="151">
        <v>614609997645</v>
      </c>
      <c r="V20" s="200">
        <f t="shared" si="4"/>
        <v>4.2343988386098657</v>
      </c>
    </row>
    <row r="21" spans="2:22" s="64" customFormat="1" ht="31.5">
      <c r="B21" s="204" t="s">
        <v>217</v>
      </c>
      <c r="C21" s="95">
        <v>125563722796</v>
      </c>
      <c r="D21" s="95">
        <v>24837582186</v>
      </c>
      <c r="E21" s="95">
        <v>174088741855</v>
      </c>
      <c r="F21" s="106">
        <f t="shared" si="0"/>
        <v>0.57859077810956705</v>
      </c>
      <c r="G21" s="95">
        <v>9084619107</v>
      </c>
      <c r="H21" s="95">
        <v>84296093141</v>
      </c>
      <c r="I21" s="95">
        <v>360</v>
      </c>
      <c r="J21" s="106">
        <f>$J$4/(H21/G21)</f>
        <v>38.797324486314885</v>
      </c>
      <c r="K21" s="177">
        <f>T21</f>
        <v>27206679934</v>
      </c>
      <c r="L21" s="95">
        <v>9317662847</v>
      </c>
      <c r="M21" s="95">
        <v>96008496750</v>
      </c>
      <c r="N21" s="109">
        <f t="shared" si="1"/>
        <v>34.938143377606842</v>
      </c>
      <c r="O21" s="110">
        <f>(J21)/(I21/N21)</f>
        <v>3.7652957932511284</v>
      </c>
      <c r="P21" s="111">
        <f t="shared" si="2"/>
        <v>69.9701720706706</v>
      </c>
      <c r="Q21" s="95">
        <v>174088741855</v>
      </c>
      <c r="R21" s="95">
        <v>176133303172</v>
      </c>
      <c r="S21" s="117">
        <f t="shared" si="3"/>
        <v>-2044561317</v>
      </c>
      <c r="T21" s="95">
        <v>27206679934</v>
      </c>
      <c r="U21" s="95">
        <v>146882061921</v>
      </c>
      <c r="V21" s="200">
        <f t="shared" si="4"/>
        <v>0.18522806378244483</v>
      </c>
    </row>
    <row r="22" spans="2:22" s="64" customFormat="1" ht="31.5">
      <c r="B22" s="204" t="s">
        <v>218</v>
      </c>
      <c r="C22" s="95">
        <v>176519734</v>
      </c>
      <c r="D22" s="95">
        <v>98028733</v>
      </c>
      <c r="E22" s="95">
        <v>260196857</v>
      </c>
      <c r="F22" s="106">
        <f t="shared" si="0"/>
        <v>0.30166006578626736</v>
      </c>
      <c r="G22" s="95">
        <v>74491539</v>
      </c>
      <c r="H22" s="95">
        <v>148543674</v>
      </c>
      <c r="I22" s="95">
        <v>360</v>
      </c>
      <c r="J22" s="106">
        <f>$J$4/(H22/G22)</f>
        <v>180.53245431373941</v>
      </c>
      <c r="K22" s="177">
        <f>T22</f>
        <v>114996484</v>
      </c>
      <c r="L22" s="95">
        <f>39624195+15458296</f>
        <v>55082491</v>
      </c>
      <c r="M22" s="95">
        <v>207443129</v>
      </c>
      <c r="N22" s="109">
        <f t="shared" si="1"/>
        <v>95.591002968336454</v>
      </c>
      <c r="O22" s="110">
        <f>(J22)/(I22/N22)</f>
        <v>47.936884378293691</v>
      </c>
      <c r="P22" s="111">
        <f t="shared" si="2"/>
        <v>228.18657290378215</v>
      </c>
      <c r="Q22" s="95">
        <v>83677123</v>
      </c>
      <c r="R22" s="95">
        <v>76300083</v>
      </c>
      <c r="S22" s="117">
        <f t="shared" si="3"/>
        <v>7377040</v>
      </c>
      <c r="T22" s="95">
        <v>114996484</v>
      </c>
      <c r="U22" s="95">
        <v>145200373</v>
      </c>
      <c r="V22" s="200">
        <f t="shared" si="4"/>
        <v>0.79198476990138311</v>
      </c>
    </row>
    <row r="23" spans="2:22" ht="31.5">
      <c r="B23" s="204" t="s">
        <v>219</v>
      </c>
      <c r="C23" s="94">
        <v>650517689794</v>
      </c>
      <c r="D23" s="94">
        <v>462845556161</v>
      </c>
      <c r="E23" s="94">
        <v>1357932144522</v>
      </c>
      <c r="F23" s="106">
        <f t="shared" si="0"/>
        <v>0.13820435313361087</v>
      </c>
      <c r="G23" s="94">
        <v>208434322075</v>
      </c>
      <c r="H23" s="94">
        <v>1153721252048</v>
      </c>
      <c r="I23" s="95">
        <v>360</v>
      </c>
      <c r="J23" s="106">
        <f>$J$4/(H23/G23)</f>
        <v>65.038548794867964</v>
      </c>
      <c r="K23" s="177">
        <f>T23</f>
        <v>497413152962</v>
      </c>
      <c r="L23" s="94">
        <f>99921274730+23805865308</f>
        <v>123727140038</v>
      </c>
      <c r="M23" s="94">
        <v>1215611781842</v>
      </c>
      <c r="N23" s="109">
        <f t="shared" si="1"/>
        <v>36.641443492910597</v>
      </c>
      <c r="O23" s="110">
        <f>(J23)/(I23/N23)</f>
        <v>6.6197397514668426</v>
      </c>
      <c r="P23" s="111">
        <f t="shared" si="2"/>
        <v>95.060252536311722</v>
      </c>
      <c r="Q23" s="94">
        <v>707414454728</v>
      </c>
      <c r="R23" s="94">
        <v>327773640946</v>
      </c>
      <c r="S23" s="117">
        <f t="shared" si="3"/>
        <v>379640813782</v>
      </c>
      <c r="T23" s="94">
        <v>497413152962</v>
      </c>
      <c r="U23" s="94">
        <v>860518991560</v>
      </c>
      <c r="V23" s="200">
        <f t="shared" si="4"/>
        <v>0.57803855329242626</v>
      </c>
    </row>
    <row r="24" spans="2:22" ht="31.5">
      <c r="B24" s="204" t="s">
        <v>220</v>
      </c>
      <c r="C24" s="94">
        <v>644378101805</v>
      </c>
      <c r="D24" s="94">
        <v>595335758497</v>
      </c>
      <c r="E24" s="94">
        <v>893663745450</v>
      </c>
      <c r="F24" s="106">
        <f t="shared" si="0"/>
        <v>5.4877848136610903E-2</v>
      </c>
      <c r="G24" s="94">
        <v>329435397918</v>
      </c>
      <c r="H24" s="94">
        <v>822587747306</v>
      </c>
      <c r="I24" s="95">
        <v>360</v>
      </c>
      <c r="J24" s="106">
        <f>$J$4/(H24/G24)</f>
        <v>144.17518816550327</v>
      </c>
      <c r="K24" s="177">
        <f>T24</f>
        <v>771921558950</v>
      </c>
      <c r="L24" s="94">
        <f>220338161057+3969576972</f>
        <v>224307738029</v>
      </c>
      <c r="M24" s="94">
        <v>933462438255</v>
      </c>
      <c r="N24" s="109">
        <f t="shared" si="1"/>
        <v>86.506732763017496</v>
      </c>
      <c r="O24" s="110">
        <f>(J24)/(I24/N24)</f>
        <v>34.644790204697095</v>
      </c>
      <c r="P24" s="111">
        <f t="shared" si="2"/>
        <v>196.03713072382365</v>
      </c>
      <c r="Q24" s="94">
        <v>249285643645</v>
      </c>
      <c r="R24" s="94">
        <v>217956524367</v>
      </c>
      <c r="S24" s="117">
        <f t="shared" si="3"/>
        <v>31329119278</v>
      </c>
      <c r="T24" s="94">
        <v>771921558950</v>
      </c>
      <c r="U24" s="94">
        <v>121742186500</v>
      </c>
      <c r="V24" s="200">
        <f t="shared" si="4"/>
        <v>6.3406250630302257</v>
      </c>
    </row>
    <row r="25" spans="2:22" s="65" customFormat="1" ht="31.5">
      <c r="B25" s="205" t="s">
        <v>221</v>
      </c>
      <c r="C25" s="206">
        <v>150044200674</v>
      </c>
      <c r="D25" s="143">
        <v>59595673194</v>
      </c>
      <c r="E25" s="206">
        <v>302951001725</v>
      </c>
      <c r="F25" s="106">
        <f t="shared" si="0"/>
        <v>0.29855827168415677</v>
      </c>
      <c r="G25" s="206">
        <v>53348540284</v>
      </c>
      <c r="H25" s="143">
        <v>20090938412</v>
      </c>
      <c r="I25" s="95">
        <v>360</v>
      </c>
      <c r="J25" s="106">
        <f>$J$4/(H25/G25)</f>
        <v>955.92720003406487</v>
      </c>
      <c r="K25" s="177">
        <f>T25</f>
        <v>720387262240</v>
      </c>
      <c r="L25" s="206">
        <f>8447601727+79136698102</f>
        <v>87584299829</v>
      </c>
      <c r="M25" s="206">
        <v>46832978925</v>
      </c>
      <c r="N25" s="109">
        <f t="shared" si="1"/>
        <v>673.25095823893298</v>
      </c>
      <c r="O25" s="110">
        <f>(J25)/(I25/N25)</f>
        <v>1787.7191761933175</v>
      </c>
      <c r="P25" s="111">
        <f t="shared" si="2"/>
        <v>-158.54101792031975</v>
      </c>
      <c r="Q25" s="143">
        <v>152906801051</v>
      </c>
      <c r="R25" s="206">
        <v>154526111217</v>
      </c>
      <c r="S25" s="117">
        <f t="shared" si="3"/>
        <v>-1619310166</v>
      </c>
      <c r="T25" s="206">
        <f>59595673194+660791589046</f>
        <v>720387262240</v>
      </c>
      <c r="U25" s="206">
        <f>-417436260515</f>
        <v>-417436260515</v>
      </c>
      <c r="V25" s="200">
        <f t="shared" si="4"/>
        <v>-1.7257419404611447</v>
      </c>
    </row>
    <row r="26" spans="2:22" ht="31.5">
      <c r="B26" s="204" t="s">
        <v>222</v>
      </c>
      <c r="C26" s="94">
        <v>224069619798</v>
      </c>
      <c r="D26" s="94">
        <v>481886299</v>
      </c>
      <c r="E26" s="94">
        <v>371964680410</v>
      </c>
      <c r="F26" s="106">
        <f t="shared" si="0"/>
        <v>0.60109936581223056</v>
      </c>
      <c r="G26" s="94">
        <v>44389798118</v>
      </c>
      <c r="H26" s="94">
        <v>308572790084</v>
      </c>
      <c r="I26" s="95">
        <v>360</v>
      </c>
      <c r="J26" s="106">
        <f>$J$4/(H26/G26)</f>
        <v>51.7878693002381</v>
      </c>
      <c r="K26" s="177">
        <f>T26</f>
        <v>22685243179</v>
      </c>
      <c r="L26" s="94">
        <f>18832902140+140578970754</f>
        <v>159411872894</v>
      </c>
      <c r="M26" s="94">
        <v>313636426234</v>
      </c>
      <c r="N26" s="109">
        <f t="shared" si="1"/>
        <v>182.977069758547</v>
      </c>
      <c r="O26" s="110">
        <f>(J26)/(I26/N26)</f>
        <v>26.322201593322728</v>
      </c>
      <c r="P26" s="111">
        <f t="shared" si="2"/>
        <v>208.44273746546239</v>
      </c>
      <c r="Q26" s="94">
        <v>147895060612</v>
      </c>
      <c r="R26" s="94">
        <v>141352104932</v>
      </c>
      <c r="S26" s="117">
        <f t="shared" si="3"/>
        <v>6542955680</v>
      </c>
      <c r="T26" s="94">
        <v>22685243179</v>
      </c>
      <c r="U26" s="94">
        <v>349279437231</v>
      </c>
      <c r="V26" s="200">
        <f t="shared" si="4"/>
        <v>6.4948693684469178E-2</v>
      </c>
    </row>
    <row r="27" spans="2:22" ht="31.5">
      <c r="B27" s="204" t="s">
        <v>223</v>
      </c>
      <c r="C27" s="94">
        <v>1058623</v>
      </c>
      <c r="D27" s="94">
        <v>1413295</v>
      </c>
      <c r="E27" s="94">
        <v>2604357</v>
      </c>
      <c r="F27" s="106">
        <f t="shared" si="0"/>
        <v>-0.13618409457689556</v>
      </c>
      <c r="G27" s="94">
        <v>480871</v>
      </c>
      <c r="H27" s="94">
        <v>1827514</v>
      </c>
      <c r="I27" s="95">
        <v>360</v>
      </c>
      <c r="J27" s="106">
        <f>$J$4/(H27/G27)</f>
        <v>94.726256543041529</v>
      </c>
      <c r="K27" s="177">
        <f>T27</f>
        <v>1718424</v>
      </c>
      <c r="L27" s="94">
        <f>140303+108523</f>
        <v>248826</v>
      </c>
      <c r="M27" s="94">
        <v>1868845</v>
      </c>
      <c r="N27" s="109">
        <f t="shared" si="1"/>
        <v>47.931936570448592</v>
      </c>
      <c r="O27" s="110">
        <f>(J27)/(I27/N27)</f>
        <v>12.612258111603076</v>
      </c>
      <c r="P27" s="111">
        <f t="shared" si="2"/>
        <v>130.04593500188705</v>
      </c>
      <c r="Q27" s="94">
        <v>1545734</v>
      </c>
      <c r="R27" s="94">
        <v>1287988</v>
      </c>
      <c r="S27" s="117">
        <f t="shared" si="3"/>
        <v>257746</v>
      </c>
      <c r="T27" s="94">
        <v>1718424</v>
      </c>
      <c r="U27" s="94">
        <v>872934</v>
      </c>
      <c r="V27" s="200">
        <f t="shared" si="4"/>
        <v>1.9685611970664449</v>
      </c>
    </row>
    <row r="28" spans="2:22" ht="31.5">
      <c r="B28" s="204" t="s">
        <v>224</v>
      </c>
      <c r="C28" s="94">
        <v>488268612706</v>
      </c>
      <c r="D28" s="94">
        <v>132155047433</v>
      </c>
      <c r="E28" s="94">
        <v>600102716315</v>
      </c>
      <c r="F28" s="106">
        <f t="shared" si="0"/>
        <v>0.59342101875451669</v>
      </c>
      <c r="G28" s="94">
        <v>152663366101</v>
      </c>
      <c r="H28" s="94">
        <v>231021913035</v>
      </c>
      <c r="I28" s="95">
        <v>360</v>
      </c>
      <c r="J28" s="106">
        <f>$J$4/(H28/G28)</f>
        <v>237.8943671375178</v>
      </c>
      <c r="K28" s="177">
        <f>T28</f>
        <v>156123759272</v>
      </c>
      <c r="L28" s="94">
        <f>8341361429+70880409461</f>
        <v>79221770890</v>
      </c>
      <c r="M28" s="94">
        <v>377622622150</v>
      </c>
      <c r="N28" s="109">
        <f t="shared" si="1"/>
        <v>75.524706009459607</v>
      </c>
      <c r="O28" s="110">
        <f>(J28)/(I28/N28)</f>
        <v>49.908061498243001</v>
      </c>
      <c r="P28" s="111">
        <f t="shared" si="2"/>
        <v>263.51101164873444</v>
      </c>
      <c r="Q28" s="94">
        <v>111834103609</v>
      </c>
      <c r="R28" s="94">
        <v>69746846934</v>
      </c>
      <c r="S28" s="117">
        <f t="shared" si="3"/>
        <v>42087256675</v>
      </c>
      <c r="T28" s="94">
        <f>132155047433+23968711839</f>
        <v>156123759272</v>
      </c>
      <c r="U28" s="94">
        <v>443978957043</v>
      </c>
      <c r="V28" s="200">
        <f t="shared" si="4"/>
        <v>0.35164675441336107</v>
      </c>
    </row>
    <row r="29" spans="2:22" ht="31.5">
      <c r="B29" s="204" t="s">
        <v>225</v>
      </c>
      <c r="C29" s="95">
        <v>103238666138</v>
      </c>
      <c r="D29" s="94">
        <v>19357303490</v>
      </c>
      <c r="E29" s="94">
        <v>141034984628</v>
      </c>
      <c r="F29" s="106">
        <f t="shared" si="0"/>
        <v>0.59475571163601093</v>
      </c>
      <c r="G29" s="94">
        <v>31012674869</v>
      </c>
      <c r="H29" s="94">
        <v>231920099123</v>
      </c>
      <c r="I29" s="95">
        <v>360</v>
      </c>
      <c r="J29" s="106">
        <f>$J$4/(H29/G29)</f>
        <v>48.139695503143166</v>
      </c>
      <c r="K29" s="177">
        <f>T29</f>
        <v>28441933937</v>
      </c>
      <c r="L29" s="94">
        <v>24106193844</v>
      </c>
      <c r="M29" s="94">
        <v>249072012369</v>
      </c>
      <c r="N29" s="109">
        <f t="shared" si="1"/>
        <v>34.842251850373337</v>
      </c>
      <c r="O29" s="110">
        <f>(J29)/(I29/N29)</f>
        <v>4.659153874224442</v>
      </c>
      <c r="P29" s="111">
        <f t="shared" si="2"/>
        <v>78.322793479292059</v>
      </c>
      <c r="Q29" s="94">
        <v>37796318490</v>
      </c>
      <c r="R29" s="94">
        <v>35277123483</v>
      </c>
      <c r="S29" s="117">
        <f t="shared" si="3"/>
        <v>2519195007</v>
      </c>
      <c r="T29" s="94">
        <v>28441933937</v>
      </c>
      <c r="U29" s="94">
        <v>112593050691</v>
      </c>
      <c r="V29" s="200">
        <f t="shared" si="4"/>
        <v>0.25260825390597108</v>
      </c>
    </row>
    <row r="30" spans="2:22" ht="31.5">
      <c r="B30" s="204" t="s">
        <v>226</v>
      </c>
      <c r="C30" s="94">
        <v>457862103838</v>
      </c>
      <c r="D30" s="94">
        <v>276068533694</v>
      </c>
      <c r="E30" s="94">
        <v>626626507164</v>
      </c>
      <c r="F30" s="106">
        <f t="shared" si="0"/>
        <v>0.29011471437230663</v>
      </c>
      <c r="G30" s="94">
        <v>244672479374</v>
      </c>
      <c r="H30" s="94">
        <v>612355225453</v>
      </c>
      <c r="I30" s="95">
        <v>360</v>
      </c>
      <c r="J30" s="106">
        <f>$J$4/(H30/G30)</f>
        <v>143.8414974077829</v>
      </c>
      <c r="K30" s="177">
        <f>T30</f>
        <v>396102056004</v>
      </c>
      <c r="L30" s="94">
        <f>28670088952+72522385506</f>
        <v>101192474458</v>
      </c>
      <c r="M30" s="94">
        <v>694332286638</v>
      </c>
      <c r="N30" s="109">
        <f t="shared" si="1"/>
        <v>52.466652503332206</v>
      </c>
      <c r="O30" s="110">
        <f>(J30)/(I30/N30)</f>
        <v>20.963560722369738</v>
      </c>
      <c r="P30" s="111">
        <f t="shared" si="2"/>
        <v>175.34458918874535</v>
      </c>
      <c r="Q30" s="94">
        <v>168764403326</v>
      </c>
      <c r="R30" s="94">
        <v>162643024706</v>
      </c>
      <c r="S30" s="117">
        <f t="shared" si="3"/>
        <v>6121378620</v>
      </c>
      <c r="T30" s="94">
        <v>396102056004</v>
      </c>
      <c r="U30" s="94">
        <v>230524451160</v>
      </c>
      <c r="V30" s="200">
        <f t="shared" si="4"/>
        <v>1.7182648261857378</v>
      </c>
    </row>
    <row r="31" spans="2:22" ht="31.5">
      <c r="B31" s="204" t="s">
        <v>227</v>
      </c>
      <c r="C31" s="94">
        <v>91781709</v>
      </c>
      <c r="D31" s="94">
        <v>82257991</v>
      </c>
      <c r="E31" s="94">
        <v>121939669</v>
      </c>
      <c r="F31" s="106">
        <f t="shared" si="0"/>
        <v>7.8101884957552242E-2</v>
      </c>
      <c r="G31" s="94">
        <v>42930514</v>
      </c>
      <c r="H31" s="94">
        <v>156220684</v>
      </c>
      <c r="I31" s="95">
        <v>360</v>
      </c>
      <c r="J31" s="106">
        <f>$J$4/(H31/G31)</f>
        <v>98.930465827431661</v>
      </c>
      <c r="K31" s="177">
        <f>T31</f>
        <v>87817339</v>
      </c>
      <c r="L31" s="94">
        <v>42623636</v>
      </c>
      <c r="M31" s="94">
        <v>162915563</v>
      </c>
      <c r="N31" s="109">
        <f t="shared" si="1"/>
        <v>94.18688231768256</v>
      </c>
      <c r="O31" s="110">
        <f>(J31)/(I31/N31)</f>
        <v>25.883200395893951</v>
      </c>
      <c r="P31" s="111">
        <f t="shared" si="2"/>
        <v>167.23414774922026</v>
      </c>
      <c r="Q31" s="94">
        <v>30157960</v>
      </c>
      <c r="R31" s="94">
        <v>32958198</v>
      </c>
      <c r="S31" s="117">
        <f t="shared" si="3"/>
        <v>-2800238</v>
      </c>
      <c r="T31" s="94">
        <v>87817339</v>
      </c>
      <c r="U31" s="94">
        <v>34122330</v>
      </c>
      <c r="V31" s="200">
        <f t="shared" si="4"/>
        <v>2.5736032387002878</v>
      </c>
    </row>
    <row r="32" spans="2:22" ht="31.5">
      <c r="B32" s="204" t="s">
        <v>228</v>
      </c>
      <c r="C32" s="94">
        <v>652967002897</v>
      </c>
      <c r="D32" s="94">
        <v>780658457243</v>
      </c>
      <c r="E32" s="94">
        <v>959445449616</v>
      </c>
      <c r="F32" s="106">
        <f t="shared" si="0"/>
        <v>-0.13308881124727426</v>
      </c>
      <c r="G32" s="94">
        <v>346961865445</v>
      </c>
      <c r="H32" s="94">
        <v>1192503163488</v>
      </c>
      <c r="I32" s="95">
        <v>360</v>
      </c>
      <c r="J32" s="106">
        <f>$J$4/(H32/G32)</f>
        <v>104.74292679849727</v>
      </c>
      <c r="K32" s="177">
        <f>T32</f>
        <v>788479094184</v>
      </c>
      <c r="L32" s="94">
        <f>10164346220+201812783299</f>
        <v>211977129519</v>
      </c>
      <c r="M32" s="94">
        <v>1229844640405</v>
      </c>
      <c r="N32" s="109">
        <f t="shared" si="1"/>
        <v>62.049924128392171</v>
      </c>
      <c r="O32" s="110">
        <f>(J32)/(I32/N32)</f>
        <v>18.05358516897914</v>
      </c>
      <c r="P32" s="111">
        <f t="shared" si="2"/>
        <v>148.73926575791029</v>
      </c>
      <c r="Q32" s="94">
        <v>306478446719</v>
      </c>
      <c r="R32" s="94">
        <v>296988490000</v>
      </c>
      <c r="S32" s="117">
        <f t="shared" si="3"/>
        <v>9489956719</v>
      </c>
      <c r="T32" s="94">
        <f>780658457243+7820636941</f>
        <v>788479094184</v>
      </c>
      <c r="U32" s="94">
        <v>170966355432</v>
      </c>
      <c r="V32" s="200">
        <f t="shared" si="4"/>
        <v>4.6118962540416844</v>
      </c>
    </row>
    <row r="33" spans="2:22" ht="31.5">
      <c r="B33" s="204" t="s">
        <v>229</v>
      </c>
      <c r="C33" s="94">
        <v>3579690</v>
      </c>
      <c r="D33" s="94">
        <v>2636139</v>
      </c>
      <c r="E33" s="94">
        <v>5443158</v>
      </c>
      <c r="F33" s="106">
        <f t="shared" si="0"/>
        <v>0.17334624495559378</v>
      </c>
      <c r="G33" s="94">
        <v>2374717</v>
      </c>
      <c r="H33" s="94">
        <v>2803580</v>
      </c>
      <c r="I33" s="95">
        <v>360</v>
      </c>
      <c r="J33" s="106">
        <f>$J$4/(H33/G33)</f>
        <v>304.93088123042685</v>
      </c>
      <c r="K33" s="177">
        <f>T33</f>
        <v>3138324</v>
      </c>
      <c r="L33" s="94">
        <f>787611+4401</f>
        <v>792012</v>
      </c>
      <c r="M33" s="94">
        <v>33673873</v>
      </c>
      <c r="N33" s="109">
        <f t="shared" si="1"/>
        <v>8.4672268022154746</v>
      </c>
      <c r="O33" s="110">
        <f>(J33)/(I33/N33)</f>
        <v>7.1719970288262607</v>
      </c>
      <c r="P33" s="111">
        <f t="shared" si="2"/>
        <v>306.22611100381607</v>
      </c>
      <c r="Q33" s="94">
        <v>1863468</v>
      </c>
      <c r="R33" s="94">
        <v>1390227</v>
      </c>
      <c r="S33" s="117">
        <f t="shared" si="3"/>
        <v>473241</v>
      </c>
      <c r="T33" s="94">
        <v>3138324</v>
      </c>
      <c r="U33" s="94">
        <v>2304834</v>
      </c>
      <c r="V33" s="200">
        <f t="shared" si="4"/>
        <v>1.3616269110920787</v>
      </c>
    </row>
    <row r="34" spans="2:22" ht="31.5">
      <c r="B34" s="204" t="s">
        <v>230</v>
      </c>
      <c r="C34" s="94">
        <v>123489015</v>
      </c>
      <c r="D34" s="94">
        <v>155545957</v>
      </c>
      <c r="E34" s="94">
        <v>175577003</v>
      </c>
      <c r="F34" s="106">
        <f t="shared" si="0"/>
        <v>-0.18258052849894016</v>
      </c>
      <c r="G34" s="94">
        <v>22392854</v>
      </c>
      <c r="H34" s="94">
        <v>595172818</v>
      </c>
      <c r="I34" s="95">
        <v>360</v>
      </c>
      <c r="J34" s="106">
        <f>$J$4/(H34/G34)</f>
        <v>13.544683487208584</v>
      </c>
      <c r="K34" s="177">
        <f>T34</f>
        <v>156044159</v>
      </c>
      <c r="L34" s="94">
        <f>33071994+51550627</f>
        <v>84622621</v>
      </c>
      <c r="M34" s="94">
        <v>609848167</v>
      </c>
      <c r="N34" s="109">
        <f t="shared" si="1"/>
        <v>49.953652742552229</v>
      </c>
      <c r="O34" s="110">
        <f>(J34)/(I34/N34)</f>
        <v>1.8794622650772195</v>
      </c>
      <c r="P34" s="111">
        <f t="shared" si="2"/>
        <v>61.618873964683587</v>
      </c>
      <c r="Q34" s="94">
        <v>52087988</v>
      </c>
      <c r="R34" s="94">
        <v>42656326</v>
      </c>
      <c r="S34" s="117">
        <f t="shared" si="3"/>
        <v>9431662</v>
      </c>
      <c r="T34" s="94">
        <v>156044159</v>
      </c>
      <c r="U34" s="94">
        <v>19532844</v>
      </c>
      <c r="V34" s="200">
        <f t="shared" si="4"/>
        <v>7.9888089517327838</v>
      </c>
    </row>
    <row r="35" spans="2:22" ht="15.75">
      <c r="B35" s="203" t="s">
        <v>46</v>
      </c>
      <c r="C35" s="94"/>
      <c r="D35" s="94"/>
      <c r="E35" s="94"/>
      <c r="F35" s="106" t="e">
        <f t="shared" si="0"/>
        <v>#DIV/0!</v>
      </c>
      <c r="G35" s="94"/>
      <c r="H35" s="94"/>
      <c r="I35" s="94"/>
      <c r="J35" s="106" t="e">
        <f>$J$4/(H35/G35)</f>
        <v>#DIV/0!</v>
      </c>
      <c r="K35" s="177">
        <f>T35</f>
        <v>0</v>
      </c>
      <c r="L35" s="94"/>
      <c r="M35" s="94"/>
      <c r="N35" s="109" t="e">
        <f t="shared" si="1"/>
        <v>#DIV/0!</v>
      </c>
      <c r="O35" s="110" t="e">
        <f>(J35)/(I35/N35)</f>
        <v>#DIV/0!</v>
      </c>
      <c r="P35" s="111" t="e">
        <f t="shared" si="2"/>
        <v>#DIV/0!</v>
      </c>
      <c r="Q35" s="94"/>
      <c r="R35" s="94"/>
      <c r="S35" s="117">
        <f t="shared" si="3"/>
        <v>0</v>
      </c>
      <c r="T35" s="94"/>
      <c r="U35" s="94"/>
      <c r="V35" s="200" t="e">
        <f t="shared" si="4"/>
        <v>#DIV/0!</v>
      </c>
    </row>
    <row r="36" spans="2:22" ht="31.5">
      <c r="B36" s="204" t="s">
        <v>231</v>
      </c>
      <c r="C36" s="94">
        <v>694548</v>
      </c>
      <c r="D36" s="94">
        <v>494696</v>
      </c>
      <c r="E36" s="94">
        <v>2325396</v>
      </c>
      <c r="F36" s="106">
        <f t="shared" si="0"/>
        <v>8.5943211392812233E-2</v>
      </c>
      <c r="G36" s="94">
        <v>222687</v>
      </c>
      <c r="H36" s="94">
        <v>2366941</v>
      </c>
      <c r="I36" s="95">
        <v>360</v>
      </c>
      <c r="J36" s="106">
        <f>$J$4/(H36/G36)</f>
        <v>33.86958948279657</v>
      </c>
      <c r="K36" s="177">
        <f>T36</f>
        <v>1274085</v>
      </c>
      <c r="L36" s="94">
        <v>101317</v>
      </c>
      <c r="M36" s="94">
        <v>2476887</v>
      </c>
      <c r="N36" s="109">
        <f t="shared" si="1"/>
        <v>14.725790881860981</v>
      </c>
      <c r="O36" s="110">
        <f>(J36)/(I36/N36)</f>
        <v>1.3854346999392786</v>
      </c>
      <c r="P36" s="111">
        <f t="shared" si="2"/>
        <v>47.209945664718269</v>
      </c>
      <c r="Q36" s="94">
        <v>1630848</v>
      </c>
      <c r="R36" s="94">
        <v>1467177</v>
      </c>
      <c r="S36" s="117">
        <f t="shared" si="3"/>
        <v>163671</v>
      </c>
      <c r="T36" s="94">
        <v>1274085</v>
      </c>
      <c r="U36" s="94">
        <v>1051311</v>
      </c>
      <c r="V36" s="200">
        <f t="shared" si="4"/>
        <v>1.2119011405759095</v>
      </c>
    </row>
    <row r="37" spans="2:22" ht="31.5">
      <c r="B37" s="204" t="s">
        <v>232</v>
      </c>
      <c r="C37" s="94">
        <v>1267026</v>
      </c>
      <c r="D37" s="182">
        <v>477912</v>
      </c>
      <c r="E37" s="182">
        <v>1923511</v>
      </c>
      <c r="F37" s="106">
        <f t="shared" si="0"/>
        <v>0.41024667911958912</v>
      </c>
      <c r="G37" s="94">
        <v>218387</v>
      </c>
      <c r="H37" s="94">
        <v>2342587</v>
      </c>
      <c r="I37" s="95">
        <v>360</v>
      </c>
      <c r="J37" s="106">
        <f>$J$4/(H37/G37)</f>
        <v>33.560896564353854</v>
      </c>
      <c r="K37" s="177">
        <f>T37</f>
        <v>1057649</v>
      </c>
      <c r="L37" s="94">
        <f>13472+86537</f>
        <v>100009</v>
      </c>
      <c r="M37" s="94">
        <v>2460051</v>
      </c>
      <c r="N37" s="109">
        <f t="shared" si="1"/>
        <v>14.635160002780431</v>
      </c>
      <c r="O37" s="110">
        <f>(J37)/(I37/N37)</f>
        <v>1.3643585862668963</v>
      </c>
      <c r="P37" s="111">
        <f t="shared" si="2"/>
        <v>46.831697980867389</v>
      </c>
      <c r="Q37" s="207">
        <v>1257077</v>
      </c>
      <c r="R37" s="207">
        <v>1095755</v>
      </c>
      <c r="S37" s="117">
        <f t="shared" si="3"/>
        <v>161322</v>
      </c>
      <c r="T37" s="208">
        <v>1057649</v>
      </c>
      <c r="U37" s="208">
        <v>865862</v>
      </c>
      <c r="V37" s="200">
        <f t="shared" si="4"/>
        <v>1.2214983450018595</v>
      </c>
    </row>
    <row r="38" spans="2:22" ht="31.5">
      <c r="B38" s="204" t="s">
        <v>233</v>
      </c>
      <c r="C38" s="94">
        <v>183045202210</v>
      </c>
      <c r="D38" s="94">
        <v>14384941579</v>
      </c>
      <c r="E38" s="94">
        <v>268891042610</v>
      </c>
      <c r="F38" s="106">
        <f t="shared" si="0"/>
        <v>0.62724387913369473</v>
      </c>
      <c r="G38" s="94">
        <v>44095625492</v>
      </c>
      <c r="H38" s="94">
        <v>98907795081</v>
      </c>
      <c r="I38" s="95">
        <v>360</v>
      </c>
      <c r="J38" s="106">
        <f>$J$4/(H38/G38)</f>
        <v>160.49721019581648</v>
      </c>
      <c r="K38" s="177">
        <f>T38</f>
        <v>32849679334</v>
      </c>
      <c r="L38" s="94">
        <v>13123911989</v>
      </c>
      <c r="M38" s="94">
        <v>132775925237</v>
      </c>
      <c r="N38" s="109">
        <f t="shared" si="1"/>
        <v>35.583320602788142</v>
      </c>
      <c r="O38" s="110">
        <f>(J38)/(I38/N38)</f>
        <v>15.863954684030041</v>
      </c>
      <c r="P38" s="111">
        <f t="shared" si="2"/>
        <v>180.21657611457459</v>
      </c>
      <c r="Q38" s="94">
        <v>85845840400</v>
      </c>
      <c r="R38" s="94">
        <v>76559686693</v>
      </c>
      <c r="S38" s="117">
        <f t="shared" si="3"/>
        <v>9286153707</v>
      </c>
      <c r="T38" s="94">
        <v>32849679334</v>
      </c>
      <c r="U38" s="94">
        <v>236041363276</v>
      </c>
      <c r="V38" s="200">
        <f t="shared" si="4"/>
        <v>0.13916916458235037</v>
      </c>
    </row>
    <row r="39" spans="2:22" ht="31.5">
      <c r="B39" s="204" t="s">
        <v>234</v>
      </c>
      <c r="C39" s="94">
        <v>296439331922</v>
      </c>
      <c r="D39" s="94">
        <v>127248837925</v>
      </c>
      <c r="E39" s="94">
        <v>411726182748</v>
      </c>
      <c r="F39" s="106">
        <f t="shared" si="0"/>
        <v>0.41092964471621729</v>
      </c>
      <c r="G39" s="94">
        <v>162138882145</v>
      </c>
      <c r="H39" s="94">
        <v>392784005228</v>
      </c>
      <c r="I39" s="95">
        <v>360</v>
      </c>
      <c r="J39" s="106">
        <f>$J$4/(H39/G39)</f>
        <v>148.60584136647284</v>
      </c>
      <c r="K39" s="177">
        <f>T39</f>
        <v>143820128736</v>
      </c>
      <c r="L39" s="94">
        <v>73793333708</v>
      </c>
      <c r="M39" s="94">
        <v>526573620057</v>
      </c>
      <c r="N39" s="109">
        <f t="shared" si="1"/>
        <v>50.449925941987665</v>
      </c>
      <c r="O39" s="110">
        <f>(J39)/(I39/N39)</f>
        <v>20.825426920792559</v>
      </c>
      <c r="P39" s="111">
        <f t="shared" si="2"/>
        <v>178.23034038766795</v>
      </c>
      <c r="Q39" s="94">
        <v>115286850826</v>
      </c>
      <c r="R39" s="94">
        <v>116341173437</v>
      </c>
      <c r="S39" s="117">
        <f t="shared" si="3"/>
        <v>-1054322611</v>
      </c>
      <c r="T39" s="94">
        <v>143820128736</v>
      </c>
      <c r="U39" s="94">
        <v>267906054012</v>
      </c>
      <c r="V39" s="200">
        <f t="shared" si="4"/>
        <v>0.53683045449043132</v>
      </c>
    </row>
    <row r="40" spans="2:22" ht="31.5">
      <c r="B40" s="204" t="s">
        <v>235</v>
      </c>
      <c r="C40" s="94">
        <v>307070732116</v>
      </c>
      <c r="D40" s="94">
        <v>647373381555</v>
      </c>
      <c r="E40" s="94">
        <v>1334406441488</v>
      </c>
      <c r="F40" s="106">
        <f t="shared" si="0"/>
        <v>-0.25502173764953329</v>
      </c>
      <c r="G40" s="94">
        <v>19896679297</v>
      </c>
      <c r="H40" s="94">
        <v>998030224725</v>
      </c>
      <c r="I40" s="95">
        <v>360</v>
      </c>
      <c r="J40" s="106">
        <f>$J$4/(H40/G40)</f>
        <v>7.1769415088542621</v>
      </c>
      <c r="K40" s="177">
        <f>T40</f>
        <v>1038412598148</v>
      </c>
      <c r="L40" s="94">
        <f>134749221535+8565601633</f>
        <v>143314823168</v>
      </c>
      <c r="M40" s="94">
        <v>1000086695089</v>
      </c>
      <c r="N40" s="109">
        <f t="shared" si="1"/>
        <v>51.588863839338039</v>
      </c>
      <c r="O40" s="110">
        <f>(J40)/(I40/N40)</f>
        <v>1.0284729396754884</v>
      </c>
      <c r="P40" s="111">
        <f t="shared" si="2"/>
        <v>57.737332408516814</v>
      </c>
      <c r="Q40" s="94">
        <v>1027335709372</v>
      </c>
      <c r="R40" s="94">
        <v>742264664655</v>
      </c>
      <c r="S40" s="117">
        <f t="shared" si="3"/>
        <v>285071044717</v>
      </c>
      <c r="T40" s="94">
        <v>1038412598148</v>
      </c>
      <c r="U40" s="94">
        <v>295993843340</v>
      </c>
      <c r="V40" s="200">
        <f t="shared" si="4"/>
        <v>3.5082236388113111</v>
      </c>
    </row>
    <row r="41" spans="2:22" ht="31.5">
      <c r="B41" s="204" t="s">
        <v>236</v>
      </c>
      <c r="C41" s="94">
        <v>335892150</v>
      </c>
      <c r="D41" s="94">
        <v>116994521</v>
      </c>
      <c r="E41" s="94">
        <v>464949206</v>
      </c>
      <c r="F41" s="106">
        <f t="shared" si="0"/>
        <v>0.4707990166994715</v>
      </c>
      <c r="G41" s="94">
        <v>182628520</v>
      </c>
      <c r="H41" s="94">
        <v>376489241</v>
      </c>
      <c r="I41" s="95">
        <v>360</v>
      </c>
      <c r="J41" s="106">
        <f>$J$4/(H41/G41)</f>
        <v>174.6298699675192</v>
      </c>
      <c r="K41" s="177">
        <f>T41</f>
        <v>140918993</v>
      </c>
      <c r="L41" s="94">
        <f>410998+94465681</f>
        <v>94876679</v>
      </c>
      <c r="M41" s="94">
        <v>472834591</v>
      </c>
      <c r="N41" s="109">
        <f t="shared" si="1"/>
        <v>72.235841222538639</v>
      </c>
      <c r="O41" s="110">
        <f>(J41)/(I41/N41)</f>
        <v>35.04037655468413</v>
      </c>
      <c r="P41" s="111">
        <f t="shared" si="2"/>
        <v>211.82533463537368</v>
      </c>
      <c r="Q41" s="94">
        <v>129057056</v>
      </c>
      <c r="R41" s="94">
        <v>126315477</v>
      </c>
      <c r="S41" s="117">
        <f t="shared" si="3"/>
        <v>2741579</v>
      </c>
      <c r="T41" s="94">
        <v>140918993</v>
      </c>
      <c r="U41" s="94">
        <v>324030213</v>
      </c>
      <c r="V41" s="200">
        <f t="shared" si="4"/>
        <v>0.43489460965789634</v>
      </c>
    </row>
    <row r="42" spans="2:22" ht="31.5">
      <c r="B42" s="204" t="s">
        <v>237</v>
      </c>
      <c r="C42" s="94">
        <v>86975126394</v>
      </c>
      <c r="D42" s="94">
        <v>6761434983</v>
      </c>
      <c r="E42" s="94">
        <v>147755842523</v>
      </c>
      <c r="F42" s="106">
        <f t="shared" si="0"/>
        <v>0.54287999744249549</v>
      </c>
      <c r="G42" s="94">
        <v>22411804859</v>
      </c>
      <c r="H42" s="94">
        <v>86309154555</v>
      </c>
      <c r="I42" s="95">
        <v>360</v>
      </c>
      <c r="J42" s="106">
        <f>$J$4/(H42/G42)</f>
        <v>93.48081082289545</v>
      </c>
      <c r="K42" s="177">
        <f>T42</f>
        <v>11328447922</v>
      </c>
      <c r="L42" s="94">
        <f>2004421188+15173532932</f>
        <v>17177954120</v>
      </c>
      <c r="M42" s="94">
        <v>110023088698</v>
      </c>
      <c r="N42" s="109">
        <f t="shared" si="1"/>
        <v>56.206961251328821</v>
      </c>
      <c r="O42" s="110">
        <f>(J42)/(I42/N42)</f>
        <v>14.595200865736901</v>
      </c>
      <c r="P42" s="111">
        <f t="shared" si="2"/>
        <v>135.09257120848736</v>
      </c>
      <c r="Q42" s="94">
        <v>60780716129</v>
      </c>
      <c r="R42" s="94">
        <v>51038088968</v>
      </c>
      <c r="S42" s="117">
        <f t="shared" si="3"/>
        <v>9742627161</v>
      </c>
      <c r="T42" s="94">
        <v>11328447922</v>
      </c>
      <c r="U42" s="94">
        <v>136427394601</v>
      </c>
      <c r="V42" s="200">
        <f t="shared" si="4"/>
        <v>8.3036460200178616E-2</v>
      </c>
    </row>
    <row r="43" spans="2:22" s="66" customFormat="1" ht="31.5">
      <c r="B43" s="209" t="s">
        <v>238</v>
      </c>
      <c r="C43" s="186"/>
      <c r="D43" s="186"/>
      <c r="E43" s="186"/>
      <c r="F43" s="106" t="e">
        <f t="shared" si="0"/>
        <v>#DIV/0!</v>
      </c>
      <c r="G43" s="186"/>
      <c r="H43" s="186"/>
      <c r="I43" s="186"/>
      <c r="J43" s="106" t="e">
        <f>$J$4/(H43/G43)</f>
        <v>#DIV/0!</v>
      </c>
      <c r="K43" s="177">
        <f>T43</f>
        <v>0</v>
      </c>
      <c r="L43" s="186"/>
      <c r="M43" s="186"/>
      <c r="N43" s="109" t="e">
        <f t="shared" si="1"/>
        <v>#DIV/0!</v>
      </c>
      <c r="O43" s="110" t="e">
        <f>(J43)/(I43/N43)</f>
        <v>#DIV/0!</v>
      </c>
      <c r="P43" s="111" t="e">
        <f t="shared" si="2"/>
        <v>#DIV/0!</v>
      </c>
      <c r="Q43" s="186"/>
      <c r="R43" s="186"/>
      <c r="S43" s="117">
        <f t="shared" si="3"/>
        <v>0</v>
      </c>
      <c r="T43" s="186"/>
      <c r="U43" s="186"/>
      <c r="V43" s="200" t="e">
        <f t="shared" si="4"/>
        <v>#DIV/0!</v>
      </c>
    </row>
    <row r="44" spans="2:22" s="64" customFormat="1" ht="31.5">
      <c r="B44" s="210" t="s">
        <v>239</v>
      </c>
      <c r="C44" s="95">
        <v>165699877</v>
      </c>
      <c r="D44" s="211">
        <v>71363344</v>
      </c>
      <c r="E44" s="211">
        <v>235973902</v>
      </c>
      <c r="F44" s="106">
        <f t="shared" si="0"/>
        <v>0.39977528108171895</v>
      </c>
      <c r="G44" s="211">
        <v>89473991</v>
      </c>
      <c r="H44" s="95">
        <v>371871422</v>
      </c>
      <c r="I44" s="95">
        <v>360</v>
      </c>
      <c r="J44" s="106">
        <f>$J$4/(H44/G44)</f>
        <v>86.617671739238943</v>
      </c>
      <c r="K44" s="177">
        <f>T44</f>
        <v>92164442</v>
      </c>
      <c r="L44" s="95">
        <f>41777511+11498335</f>
        <v>53275846</v>
      </c>
      <c r="M44" s="95">
        <v>400094886</v>
      </c>
      <c r="N44" s="109">
        <f t="shared" si="1"/>
        <v>47.936890050626644</v>
      </c>
      <c r="O44" s="110">
        <f>(J44)/(I44/N44)</f>
        <v>11.533838351681021</v>
      </c>
      <c r="P44" s="111">
        <f t="shared" si="2"/>
        <v>123.02072343818458</v>
      </c>
      <c r="Q44" s="211">
        <v>70274025</v>
      </c>
      <c r="R44" s="95">
        <v>70582155</v>
      </c>
      <c r="S44" s="117">
        <f t="shared" si="3"/>
        <v>-308130</v>
      </c>
      <c r="T44" s="211">
        <v>92164442</v>
      </c>
      <c r="U44" s="95">
        <v>143809460</v>
      </c>
      <c r="V44" s="200">
        <f t="shared" si="4"/>
        <v>0.64087885456214078</v>
      </c>
    </row>
    <row r="45" spans="2:22" ht="31.5">
      <c r="B45" s="212" t="s">
        <v>56</v>
      </c>
      <c r="C45" s="94"/>
      <c r="D45" s="94"/>
      <c r="E45" s="94"/>
      <c r="F45" s="106" t="e">
        <f t="shared" si="0"/>
        <v>#DIV/0!</v>
      </c>
      <c r="G45" s="94"/>
      <c r="H45" s="94"/>
      <c r="I45" s="94"/>
      <c r="J45" s="106" t="e">
        <f>$J$4/(H45/G45)</f>
        <v>#DIV/0!</v>
      </c>
      <c r="K45" s="177">
        <f>T45</f>
        <v>0</v>
      </c>
      <c r="L45" s="94"/>
      <c r="M45" s="94"/>
      <c r="N45" s="109" t="e">
        <f t="shared" si="1"/>
        <v>#DIV/0!</v>
      </c>
      <c r="O45" s="110" t="e">
        <f>(J45)/(I45/N45)</f>
        <v>#DIV/0!</v>
      </c>
      <c r="P45" s="111" t="e">
        <f t="shared" si="2"/>
        <v>#DIV/0!</v>
      </c>
      <c r="Q45" s="94"/>
      <c r="R45" s="94"/>
      <c r="S45" s="117">
        <f t="shared" si="3"/>
        <v>0</v>
      </c>
      <c r="T45" s="94"/>
      <c r="U45" s="94"/>
      <c r="V45" s="200" t="e">
        <f t="shared" si="4"/>
        <v>#DIV/0!</v>
      </c>
    </row>
    <row r="46" spans="2:22" ht="31.5">
      <c r="B46" s="204" t="s">
        <v>240</v>
      </c>
      <c r="C46" s="94">
        <v>920128174</v>
      </c>
      <c r="D46" s="94">
        <v>812876508</v>
      </c>
      <c r="E46" s="94">
        <v>2227042590</v>
      </c>
      <c r="F46" s="106">
        <f t="shared" si="0"/>
        <v>4.8158785324352506E-2</v>
      </c>
      <c r="G46" s="94">
        <v>290134127</v>
      </c>
      <c r="H46" s="94">
        <v>1725962791</v>
      </c>
      <c r="I46" s="95">
        <v>360</v>
      </c>
      <c r="J46" s="106">
        <f>$J$4/(H46/G46)</f>
        <v>60.515954494873</v>
      </c>
      <c r="K46" s="177">
        <f>T46</f>
        <v>1195437301</v>
      </c>
      <c r="L46" s="94">
        <f>171654+39643541</f>
        <v>39815195</v>
      </c>
      <c r="M46" s="94">
        <v>1945383031</v>
      </c>
      <c r="N46" s="109">
        <f t="shared" si="1"/>
        <v>7.3679424419735255</v>
      </c>
      <c r="O46" s="110">
        <f>(J46)/(I46/N46)</f>
        <v>1.2385501931647593</v>
      </c>
      <c r="P46" s="111">
        <f t="shared" si="2"/>
        <v>66.64534674368177</v>
      </c>
      <c r="Q46" s="94">
        <v>1306914416</v>
      </c>
      <c r="R46" s="94">
        <v>1140961020</v>
      </c>
      <c r="S46" s="117">
        <f t="shared" si="3"/>
        <v>165953396</v>
      </c>
      <c r="T46" s="94">
        <v>1195437301</v>
      </c>
      <c r="U46" s="94">
        <v>1031605289</v>
      </c>
      <c r="V46" s="200">
        <f t="shared" si="4"/>
        <v>1.1588126910039525</v>
      </c>
    </row>
    <row r="47" spans="2:22" ht="31.5">
      <c r="B47" s="204" t="s">
        <v>241</v>
      </c>
      <c r="C47" s="94">
        <v>89509388915</v>
      </c>
      <c r="D47" s="94">
        <v>31090308805</v>
      </c>
      <c r="E47" s="94">
        <v>273126657794</v>
      </c>
      <c r="F47" s="106">
        <f t="shared" si="0"/>
        <v>0.2138900705696086</v>
      </c>
      <c r="G47" s="94">
        <v>35111850724</v>
      </c>
      <c r="H47" s="94">
        <v>252120115599</v>
      </c>
      <c r="I47" s="95">
        <v>360</v>
      </c>
      <c r="J47" s="106">
        <f>$J$4/(H47/G47)</f>
        <v>50.135889516822573</v>
      </c>
      <c r="K47" s="177">
        <f>T47</f>
        <v>48553666580</v>
      </c>
      <c r="L47" s="94">
        <v>49153447552</v>
      </c>
      <c r="M47" s="94">
        <v>294081114204</v>
      </c>
      <c r="N47" s="109">
        <f t="shared" si="1"/>
        <v>60.171293782725051</v>
      </c>
      <c r="O47" s="110">
        <f>(J47)/(I47/N47)</f>
        <v>8.379837047708266</v>
      </c>
      <c r="P47" s="111">
        <f t="shared" si="2"/>
        <v>101.92734625183937</v>
      </c>
      <c r="Q47" s="94">
        <v>183617268879</v>
      </c>
      <c r="R47" s="94">
        <v>176688788879</v>
      </c>
      <c r="S47" s="117">
        <f t="shared" si="3"/>
        <v>6928480000</v>
      </c>
      <c r="T47" s="94">
        <v>48553666580</v>
      </c>
      <c r="U47" s="94">
        <v>224572991214</v>
      </c>
      <c r="V47" s="200">
        <f t="shared" si="4"/>
        <v>0.21620439001826475</v>
      </c>
    </row>
    <row r="48" spans="2:22" ht="33.75" customHeight="1">
      <c r="B48" s="204" t="s">
        <v>242</v>
      </c>
      <c r="C48" s="94">
        <v>581020004</v>
      </c>
      <c r="D48" s="94">
        <v>555109444</v>
      </c>
      <c r="E48" s="94">
        <v>1334086016</v>
      </c>
      <c r="F48" s="106">
        <f t="shared" si="0"/>
        <v>1.9421956072733469E-2</v>
      </c>
      <c r="G48" s="94">
        <v>184314236</v>
      </c>
      <c r="H48" s="94">
        <v>1030720991</v>
      </c>
      <c r="I48" s="95">
        <v>360</v>
      </c>
      <c r="J48" s="106">
        <f>$J$4/(H48/G48)</f>
        <v>64.375447419213373</v>
      </c>
      <c r="K48" s="177">
        <f>T48</f>
        <v>976013390</v>
      </c>
      <c r="L48" s="94">
        <v>226734015</v>
      </c>
      <c r="M48" s="94">
        <v>1258841240</v>
      </c>
      <c r="N48" s="109">
        <f t="shared" si="1"/>
        <v>64.840778015820334</v>
      </c>
      <c r="O48" s="110">
        <f>(J48)/(I48/N48)</f>
        <v>11.594872488273134</v>
      </c>
      <c r="P48" s="111">
        <f t="shared" si="2"/>
        <v>117.62135294676058</v>
      </c>
      <c r="Q48" s="94">
        <v>753066012</v>
      </c>
      <c r="R48" s="94">
        <v>668924533</v>
      </c>
      <c r="S48" s="117">
        <f t="shared" si="3"/>
        <v>84141479</v>
      </c>
      <c r="T48" s="94">
        <v>976013390</v>
      </c>
      <c r="U48" s="94">
        <v>358072626</v>
      </c>
      <c r="V48" s="200">
        <f t="shared" si="4"/>
        <v>2.7257414254280361</v>
      </c>
    </row>
    <row r="49" spans="2:22" s="63" customFormat="1" ht="31.5">
      <c r="B49" s="213" t="s">
        <v>243</v>
      </c>
      <c r="C49" s="94">
        <v>302146092589</v>
      </c>
      <c r="D49" s="94">
        <v>73319694813</v>
      </c>
      <c r="E49" s="94">
        <v>350619526939</v>
      </c>
      <c r="F49" s="106">
        <f t="shared" si="0"/>
        <v>0.65263449464356471</v>
      </c>
      <c r="G49" s="94">
        <v>119618779661</v>
      </c>
      <c r="H49" s="94">
        <v>627224368557</v>
      </c>
      <c r="I49" s="95">
        <v>360</v>
      </c>
      <c r="J49" s="106">
        <f>$J$4/(H49/G49)</f>
        <v>68.656070836390995</v>
      </c>
      <c r="K49" s="177">
        <f>T49</f>
        <v>92945504329</v>
      </c>
      <c r="L49" s="94">
        <v>147207368613</v>
      </c>
      <c r="M49" s="94">
        <v>737863227409</v>
      </c>
      <c r="N49" s="109">
        <f t="shared" si="1"/>
        <v>71.821783132858158</v>
      </c>
      <c r="O49" s="110">
        <f>(J49)/(I49/N49)</f>
        <v>13.697226195459505</v>
      </c>
      <c r="P49" s="111">
        <f t="shared" si="2"/>
        <v>126.78062777378966</v>
      </c>
      <c r="Q49" s="94">
        <v>48473434350</v>
      </c>
      <c r="R49" s="94">
        <v>52271738664</v>
      </c>
      <c r="S49" s="117">
        <f t="shared" si="3"/>
        <v>-3798304314</v>
      </c>
      <c r="T49" s="94">
        <v>92945504329</v>
      </c>
      <c r="U49" s="94">
        <v>257674022610</v>
      </c>
      <c r="V49" s="200">
        <f t="shared" si="4"/>
        <v>0.36070964153680624</v>
      </c>
    </row>
    <row r="50" spans="2:22" s="63" customFormat="1" ht="31.5">
      <c r="B50" s="213" t="s">
        <v>244</v>
      </c>
      <c r="C50" s="94">
        <v>1209092505234</v>
      </c>
      <c r="D50" s="94">
        <v>581900349159</v>
      </c>
      <c r="E50" s="94">
        <v>1740439269199</v>
      </c>
      <c r="F50" s="106">
        <f t="shared" si="0"/>
        <v>0.36036428686400063</v>
      </c>
      <c r="G50" s="94">
        <v>535692377350</v>
      </c>
      <c r="H50" s="94">
        <v>884442029690</v>
      </c>
      <c r="I50" s="95">
        <v>360</v>
      </c>
      <c r="J50" s="106">
        <f>$J$4/(H50/G50)</f>
        <v>218.04623635264636</v>
      </c>
      <c r="K50" s="177">
        <f>T50</f>
        <v>767100771488</v>
      </c>
      <c r="L50" s="94">
        <f>5740954004+160509169974</f>
        <v>166250123978</v>
      </c>
      <c r="M50" s="94">
        <v>1413257059355</v>
      </c>
      <c r="N50" s="109">
        <f t="shared" si="1"/>
        <v>42.34901516033829</v>
      </c>
      <c r="O50" s="110">
        <f>(J50)/(I50/N50)</f>
        <v>25.650120469313684</v>
      </c>
      <c r="P50" s="111">
        <f t="shared" si="2"/>
        <v>234.74513104367097</v>
      </c>
      <c r="Q50" s="94">
        <v>531346763965</v>
      </c>
      <c r="R50" s="94">
        <v>490787379465</v>
      </c>
      <c r="S50" s="117">
        <f t="shared" si="3"/>
        <v>40559384500</v>
      </c>
      <c r="T50" s="94">
        <v>767100771488</v>
      </c>
      <c r="U50" s="94">
        <v>973338497711</v>
      </c>
      <c r="V50" s="200">
        <f t="shared" si="4"/>
        <v>0.78811304935743398</v>
      </c>
    </row>
    <row r="51" spans="2:22" s="63" customFormat="1" ht="31.5">
      <c r="B51" s="213" t="s">
        <v>245</v>
      </c>
      <c r="C51" s="94">
        <v>92292368</v>
      </c>
      <c r="D51" s="94">
        <v>105692581</v>
      </c>
      <c r="E51" s="94">
        <v>285405493</v>
      </c>
      <c r="F51" s="106">
        <f t="shared" si="0"/>
        <v>-4.6951489472558963E-2</v>
      </c>
      <c r="G51" s="94">
        <v>24169248</v>
      </c>
      <c r="H51" s="94">
        <v>192543030</v>
      </c>
      <c r="I51" s="95">
        <v>360</v>
      </c>
      <c r="J51" s="106">
        <f>$J$4/(H51/G51)</f>
        <v>45.18953129593941</v>
      </c>
      <c r="K51" s="177">
        <f>T51</f>
        <v>131487223</v>
      </c>
      <c r="L51" s="94">
        <f>2252385+44088929</f>
        <v>46341314</v>
      </c>
      <c r="M51" s="94">
        <v>229688106</v>
      </c>
      <c r="N51" s="109">
        <f t="shared" si="1"/>
        <v>72.632725004924723</v>
      </c>
      <c r="O51" s="110">
        <f>(J51)/(I51/N51)</f>
        <v>9.1173299992205745</v>
      </c>
      <c r="P51" s="111">
        <f t="shared" si="2"/>
        <v>108.70492630164355</v>
      </c>
      <c r="Q51" s="94">
        <v>193113125</v>
      </c>
      <c r="R51" s="94">
        <v>192215986</v>
      </c>
      <c r="S51" s="117">
        <f t="shared" si="3"/>
        <v>897139</v>
      </c>
      <c r="T51" s="94">
        <v>131487223</v>
      </c>
      <c r="U51" s="94">
        <v>153918270</v>
      </c>
      <c r="V51" s="200">
        <f t="shared" si="4"/>
        <v>0.85426650780313473</v>
      </c>
    </row>
    <row r="52" spans="2:22" ht="31.5">
      <c r="B52" s="204" t="s">
        <v>246</v>
      </c>
      <c r="C52" s="94">
        <v>115787</v>
      </c>
      <c r="D52" s="94">
        <v>148539</v>
      </c>
      <c r="E52" s="94">
        <v>256207</v>
      </c>
      <c r="F52" s="106">
        <f t="shared" si="0"/>
        <v>-0.12783413411811542</v>
      </c>
      <c r="G52" s="94">
        <v>61691</v>
      </c>
      <c r="H52" s="94">
        <v>613802</v>
      </c>
      <c r="I52" s="95">
        <v>360</v>
      </c>
      <c r="J52" s="106">
        <f>$J$4/(H52/G52)</f>
        <v>36.182286796067793</v>
      </c>
      <c r="K52" s="177">
        <f>T52</f>
        <v>163316</v>
      </c>
      <c r="L52" s="94">
        <f>21319+13915</f>
        <v>35234</v>
      </c>
      <c r="M52" s="94">
        <v>621731</v>
      </c>
      <c r="N52" s="109">
        <f t="shared" si="1"/>
        <v>20.401491963566237</v>
      </c>
      <c r="O52" s="110">
        <f>(J52)/(I52/N52)</f>
        <v>2.0504795369261828</v>
      </c>
      <c r="P52" s="111">
        <f t="shared" si="2"/>
        <v>54.533299222707846</v>
      </c>
      <c r="Q52" s="94">
        <v>14042</v>
      </c>
      <c r="R52" s="94">
        <v>151853</v>
      </c>
      <c r="S52" s="117">
        <f t="shared" si="3"/>
        <v>-137811</v>
      </c>
      <c r="T52" s="94">
        <v>163316</v>
      </c>
      <c r="U52" s="94">
        <v>92891</v>
      </c>
      <c r="V52" s="200">
        <f t="shared" si="4"/>
        <v>1.758146644992518</v>
      </c>
    </row>
    <row r="53" spans="2:22" ht="31.5">
      <c r="B53" s="204" t="s">
        <v>247</v>
      </c>
      <c r="C53" s="94">
        <v>1182292914595</v>
      </c>
      <c r="D53" s="94">
        <v>955175792503</v>
      </c>
      <c r="E53" s="94">
        <v>3261285495052</v>
      </c>
      <c r="F53" s="106">
        <f t="shared" si="0"/>
        <v>6.9640368019475915E-2</v>
      </c>
      <c r="G53" s="94">
        <v>509899015645</v>
      </c>
      <c r="H53" s="94">
        <v>2292151843251</v>
      </c>
      <c r="I53" s="95">
        <v>360</v>
      </c>
      <c r="J53" s="106">
        <f>$J$4/(H53/G53)</f>
        <v>80.083545151113711</v>
      </c>
      <c r="K53" s="177">
        <f>T53</f>
        <v>1504845098173</v>
      </c>
      <c r="L53" s="94">
        <f>475117171410+9148305341</f>
        <v>484265476751</v>
      </c>
      <c r="M53" s="94">
        <v>2507884797367</v>
      </c>
      <c r="N53" s="109">
        <f t="shared" si="1"/>
        <v>69.514984026934954</v>
      </c>
      <c r="O53" s="110">
        <f>(J53)/(I53/N53)</f>
        <v>15.463906561111093</v>
      </c>
      <c r="P53" s="111">
        <f t="shared" si="2"/>
        <v>134.13462261693758</v>
      </c>
      <c r="Q53" s="94">
        <v>2078992580457</v>
      </c>
      <c r="R53" s="94">
        <v>2066462396178</v>
      </c>
      <c r="S53" s="117">
        <f t="shared" si="3"/>
        <v>12530184279</v>
      </c>
      <c r="T53" s="94">
        <v>1504845098173</v>
      </c>
      <c r="U53" s="94">
        <v>1756440396879</v>
      </c>
      <c r="V53" s="200">
        <f t="shared" si="4"/>
        <v>0.85675841938442265</v>
      </c>
    </row>
    <row r="54" spans="2:22" ht="32.25" customHeight="1">
      <c r="B54" s="204" t="s">
        <v>248</v>
      </c>
      <c r="C54" s="94">
        <v>302876053830</v>
      </c>
      <c r="D54" s="94">
        <v>82021759414</v>
      </c>
      <c r="E54" s="94">
        <v>433975362840</v>
      </c>
      <c r="F54" s="106">
        <f t="shared" si="0"/>
        <v>0.50890975232026148</v>
      </c>
      <c r="G54" s="94">
        <v>105855280781</v>
      </c>
      <c r="H54" s="94">
        <v>453638903779</v>
      </c>
      <c r="I54" s="95">
        <v>360</v>
      </c>
      <c r="J54" s="106">
        <f>$J$4/(H54/G54)</f>
        <v>84.004922778239248</v>
      </c>
      <c r="K54" s="177">
        <f>T54</f>
        <v>114720263088</v>
      </c>
      <c r="L54" s="94">
        <v>75240353978</v>
      </c>
      <c r="M54" s="94">
        <v>558080193376</v>
      </c>
      <c r="N54" s="109">
        <f t="shared" si="1"/>
        <v>48.535188586832305</v>
      </c>
      <c r="O54" s="110">
        <f>(J54)/(I54/N54)</f>
        <v>11.325541025733685</v>
      </c>
      <c r="P54" s="111">
        <f t="shared" si="2"/>
        <v>121.21457033933785</v>
      </c>
      <c r="Q54" s="94">
        <v>131099309010</v>
      </c>
      <c r="R54" s="94">
        <v>91130739060</v>
      </c>
      <c r="S54" s="117">
        <f t="shared" si="3"/>
        <v>39968569950</v>
      </c>
      <c r="T54" s="94">
        <v>114720263088</v>
      </c>
      <c r="U54" s="94">
        <v>319255099752</v>
      </c>
      <c r="V54" s="200">
        <f t="shared" si="4"/>
        <v>0.35933729226914668</v>
      </c>
    </row>
    <row r="55" spans="2:22" ht="31.5">
      <c r="B55" s="204" t="s">
        <v>249</v>
      </c>
      <c r="C55" s="94">
        <v>130490593485</v>
      </c>
      <c r="D55" s="94">
        <v>94377062611</v>
      </c>
      <c r="E55" s="94">
        <v>320882480510</v>
      </c>
      <c r="F55" s="106">
        <f t="shared" si="0"/>
        <v>0.11254441444295228</v>
      </c>
      <c r="G55" s="94">
        <v>66752673144</v>
      </c>
      <c r="H55" s="94">
        <v>395932551110</v>
      </c>
      <c r="I55" s="95">
        <v>360</v>
      </c>
      <c r="J55" s="106">
        <f>$J$4/(H55/G55)</f>
        <v>60.694586147233942</v>
      </c>
      <c r="K55" s="177">
        <f>T55</f>
        <v>160166730482</v>
      </c>
      <c r="L55" s="94">
        <v>59792567897</v>
      </c>
      <c r="M55" s="94">
        <v>421516175465</v>
      </c>
      <c r="N55" s="109">
        <f t="shared" si="1"/>
        <v>51.066425669605941</v>
      </c>
      <c r="O55" s="110">
        <f>(J55)/(I55/N55)</f>
        <v>8.6095988112089348</v>
      </c>
      <c r="P55" s="111">
        <f t="shared" si="2"/>
        <v>103.15141300563094</v>
      </c>
      <c r="Q55" s="94">
        <v>190391887025</v>
      </c>
      <c r="R55" s="94">
        <v>200007805288</v>
      </c>
      <c r="S55" s="117">
        <f t="shared" si="3"/>
        <v>-9615918263</v>
      </c>
      <c r="T55" s="94">
        <v>160166730482</v>
      </c>
      <c r="U55" s="94">
        <v>160715750028</v>
      </c>
      <c r="V55" s="200">
        <f t="shared" si="4"/>
        <v>0.99658390950541964</v>
      </c>
    </row>
    <row r="56" spans="2:22" ht="15.75">
      <c r="B56" s="203" t="s">
        <v>67</v>
      </c>
      <c r="C56" s="94"/>
      <c r="D56" s="94"/>
      <c r="E56" s="94"/>
      <c r="F56" s="106" t="e">
        <f t="shared" si="0"/>
        <v>#DIV/0!</v>
      </c>
      <c r="G56" s="94"/>
      <c r="H56" s="94"/>
      <c r="I56" s="95">
        <v>360</v>
      </c>
      <c r="J56" s="106" t="e">
        <f>$J$4/(H56/G56)</f>
        <v>#DIV/0!</v>
      </c>
      <c r="K56" s="177">
        <f>T56</f>
        <v>0</v>
      </c>
      <c r="L56" s="94"/>
      <c r="M56" s="94"/>
      <c r="N56" s="109" t="e">
        <f t="shared" si="1"/>
        <v>#DIV/0!</v>
      </c>
      <c r="O56" s="110" t="e">
        <f>(J56)/(I56/N56)</f>
        <v>#DIV/0!</v>
      </c>
      <c r="P56" s="111" t="e">
        <f t="shared" si="2"/>
        <v>#DIV/0!</v>
      </c>
      <c r="Q56" s="94"/>
      <c r="R56" s="94"/>
      <c r="S56" s="117">
        <f t="shared" si="3"/>
        <v>0</v>
      </c>
      <c r="T56" s="94"/>
      <c r="U56" s="94"/>
      <c r="V56" s="200" t="e">
        <f t="shared" si="4"/>
        <v>#DIV/0!</v>
      </c>
    </row>
    <row r="57" spans="2:22" ht="31.5">
      <c r="B57" s="204" t="s">
        <v>250</v>
      </c>
      <c r="C57" s="94">
        <v>10009670</v>
      </c>
      <c r="D57" s="94">
        <v>4467242</v>
      </c>
      <c r="E57" s="94">
        <v>20841795</v>
      </c>
      <c r="F57" s="106">
        <f t="shared" si="0"/>
        <v>0.2659285344664411</v>
      </c>
      <c r="G57" s="94">
        <v>4321016</v>
      </c>
      <c r="H57" s="94">
        <v>24967568</v>
      </c>
      <c r="I57" s="95">
        <v>360</v>
      </c>
      <c r="J57" s="106">
        <f>$J$4/(H57/G57)</f>
        <v>62.303455426655894</v>
      </c>
      <c r="K57" s="177">
        <f>T57</f>
        <v>9836577</v>
      </c>
      <c r="L57" s="94">
        <f>3021952+137334</f>
        <v>3159286</v>
      </c>
      <c r="M57" s="94">
        <v>29150275</v>
      </c>
      <c r="N57" s="109">
        <f t="shared" si="1"/>
        <v>39.016543068633148</v>
      </c>
      <c r="O57" s="110">
        <f>(J57)/(I57/N57)</f>
        <v>6.7524040332744031</v>
      </c>
      <c r="P57" s="111">
        <f t="shared" si="2"/>
        <v>94.56759446201464</v>
      </c>
      <c r="Q57" s="94">
        <v>10832125</v>
      </c>
      <c r="R57" s="94">
        <v>6879602</v>
      </c>
      <c r="S57" s="117">
        <f t="shared" si="3"/>
        <v>3952523</v>
      </c>
      <c r="T57" s="94">
        <v>9836577</v>
      </c>
      <c r="U57" s="94">
        <v>11005218</v>
      </c>
      <c r="V57" s="200">
        <f t="shared" si="4"/>
        <v>0.89381028163185861</v>
      </c>
    </row>
    <row r="58" spans="2:22" ht="31.5">
      <c r="B58" s="204" t="s">
        <v>251</v>
      </c>
      <c r="C58" s="94">
        <v>8709318</v>
      </c>
      <c r="D58" s="94">
        <v>4916448</v>
      </c>
      <c r="E58" s="94">
        <v>15758959</v>
      </c>
      <c r="F58" s="106">
        <f t="shared" si="0"/>
        <v>0.24068023782535383</v>
      </c>
      <c r="G58" s="94">
        <v>5133782</v>
      </c>
      <c r="H58" s="94">
        <v>21033306</v>
      </c>
      <c r="I58" s="95">
        <v>360</v>
      </c>
      <c r="J58" s="106">
        <f>$J$4/(H58/G58)</f>
        <v>87.868332253617183</v>
      </c>
      <c r="K58" s="177">
        <f>T58</f>
        <v>9760149</v>
      </c>
      <c r="L58" s="94">
        <f>47845+1194797</f>
        <v>1242642</v>
      </c>
      <c r="M58" s="94">
        <v>24458880</v>
      </c>
      <c r="N58" s="109">
        <f t="shared" si="1"/>
        <v>18.28992660334406</v>
      </c>
      <c r="O58" s="110">
        <f>(J58)/(I58/N58)</f>
        <v>4.4641815213247442</v>
      </c>
      <c r="P58" s="111">
        <f t="shared" si="2"/>
        <v>101.69407733563649</v>
      </c>
      <c r="Q58" s="94">
        <v>7049641</v>
      </c>
      <c r="R58" s="94">
        <v>5931026</v>
      </c>
      <c r="S58" s="117">
        <f t="shared" si="3"/>
        <v>1118615</v>
      </c>
      <c r="T58" s="94">
        <v>9760149</v>
      </c>
      <c r="U58" s="94">
        <v>5179545</v>
      </c>
      <c r="V58" s="200">
        <f t="shared" si="4"/>
        <v>1.8843641671227878</v>
      </c>
    </row>
    <row r="59" spans="2:22" ht="31.5">
      <c r="B59" s="204" t="s">
        <v>252</v>
      </c>
      <c r="C59" s="94">
        <v>1875171451</v>
      </c>
      <c r="D59" s="94">
        <v>1742383588</v>
      </c>
      <c r="E59" s="94">
        <v>3530183618</v>
      </c>
      <c r="F59" s="106">
        <f t="shared" si="0"/>
        <v>3.7615001758812196E-2</v>
      </c>
      <c r="G59" s="94">
        <v>610432352</v>
      </c>
      <c r="H59" s="94">
        <v>4179751129</v>
      </c>
      <c r="I59" s="95">
        <v>360</v>
      </c>
      <c r="J59" s="106">
        <f>$J$4/(H59/G59)</f>
        <v>52.576251536912977</v>
      </c>
      <c r="K59" s="177">
        <f>T59</f>
        <v>2449714632</v>
      </c>
      <c r="L59" s="94">
        <f>418830908+45064752</f>
        <v>463895660</v>
      </c>
      <c r="M59" s="94">
        <v>4502078127</v>
      </c>
      <c r="N59" s="109">
        <f t="shared" si="1"/>
        <v>37.094522327022247</v>
      </c>
      <c r="O59" s="110">
        <f>(J59)/(I59/N59)</f>
        <v>5.4174748236309895</v>
      </c>
      <c r="P59" s="111">
        <f t="shared" si="2"/>
        <v>84.253299040304228</v>
      </c>
      <c r="Q59" s="94">
        <v>1655012167</v>
      </c>
      <c r="R59" s="94">
        <v>1215721206</v>
      </c>
      <c r="S59" s="117">
        <f t="shared" si="3"/>
        <v>439290961</v>
      </c>
      <c r="T59" s="94">
        <v>2449714632</v>
      </c>
      <c r="U59" s="94">
        <v>1080468986</v>
      </c>
      <c r="V59" s="200">
        <f t="shared" si="4"/>
        <v>2.2672697354035853</v>
      </c>
    </row>
    <row r="60" spans="2:22" ht="31.5">
      <c r="B60" s="204" t="s">
        <v>253</v>
      </c>
      <c r="C60" s="151">
        <v>1720579070446</v>
      </c>
      <c r="D60" s="151">
        <v>1203289509986</v>
      </c>
      <c r="E60" s="151">
        <v>2799604621544</v>
      </c>
      <c r="F60" s="106">
        <f t="shared" si="0"/>
        <v>0.18477236266837974</v>
      </c>
      <c r="G60" s="151">
        <v>557327627156</v>
      </c>
      <c r="H60" s="151">
        <v>2127570139929</v>
      </c>
      <c r="I60" s="95">
        <v>360</v>
      </c>
      <c r="J60" s="106">
        <f>$J$4/(H60/G60)</f>
        <v>94.303798502669139</v>
      </c>
      <c r="K60" s="177">
        <f>T60</f>
        <v>1509417123614</v>
      </c>
      <c r="L60" s="151">
        <v>432110287781</v>
      </c>
      <c r="M60" s="94">
        <v>2505575102503</v>
      </c>
      <c r="N60" s="109">
        <f t="shared" si="1"/>
        <v>62.085428389578169</v>
      </c>
      <c r="O60" s="110">
        <f>(J60)/(I60/N60)</f>
        <v>16.263588135562983</v>
      </c>
      <c r="P60" s="111">
        <f t="shared" si="2"/>
        <v>140.12563875668434</v>
      </c>
      <c r="Q60" s="151">
        <v>1079025551098</v>
      </c>
      <c r="R60" s="151">
        <v>1752099047690</v>
      </c>
      <c r="S60" s="117">
        <f t="shared" si="3"/>
        <v>-673073496592</v>
      </c>
      <c r="T60" s="151">
        <v>1509417123614</v>
      </c>
      <c r="U60" s="151">
        <v>1290187497930</v>
      </c>
      <c r="V60" s="200">
        <f t="shared" si="4"/>
        <v>1.1699207487560808</v>
      </c>
    </row>
    <row r="61" spans="2:22" ht="31.5">
      <c r="B61" s="203" t="s">
        <v>72</v>
      </c>
      <c r="C61" s="94"/>
      <c r="D61" s="94"/>
      <c r="E61" s="94"/>
      <c r="F61" s="106" t="e">
        <f t="shared" si="0"/>
        <v>#DIV/0!</v>
      </c>
      <c r="G61" s="94"/>
      <c r="H61" s="94"/>
      <c r="I61" s="94"/>
      <c r="J61" s="106" t="e">
        <f>$J$4/(H61/G61)</f>
        <v>#DIV/0!</v>
      </c>
      <c r="K61" s="177">
        <f>T61</f>
        <v>0</v>
      </c>
      <c r="L61" s="94"/>
      <c r="M61" s="94"/>
      <c r="N61" s="109" t="e">
        <f t="shared" si="1"/>
        <v>#DIV/0!</v>
      </c>
      <c r="O61" s="110" t="e">
        <f>(J61)/(I61/N61)</f>
        <v>#DIV/0!</v>
      </c>
      <c r="P61" s="111" t="e">
        <f t="shared" si="2"/>
        <v>#DIV/0!</v>
      </c>
      <c r="Q61" s="94"/>
      <c r="R61" s="94"/>
      <c r="S61" s="117">
        <f t="shared" si="3"/>
        <v>0</v>
      </c>
      <c r="T61" s="94"/>
      <c r="U61" s="94"/>
      <c r="V61" s="200" t="e">
        <f t="shared" si="4"/>
        <v>#DIV/0!</v>
      </c>
    </row>
    <row r="62" spans="2:22" ht="30.75" customHeight="1">
      <c r="B62" s="214" t="s">
        <v>254</v>
      </c>
      <c r="C62" s="94">
        <v>23891527</v>
      </c>
      <c r="D62" s="94">
        <v>31058862</v>
      </c>
      <c r="E62" s="94">
        <v>72672454</v>
      </c>
      <c r="F62" s="106">
        <f t="shared" si="0"/>
        <v>-9.8625195730971185E-2</v>
      </c>
      <c r="G62" s="94">
        <v>13477863</v>
      </c>
      <c r="H62" s="94">
        <v>40497827</v>
      </c>
      <c r="I62" s="95">
        <v>360</v>
      </c>
      <c r="J62" s="106">
        <f>$J$4/(H62/G62)</f>
        <v>119.80965497235198</v>
      </c>
      <c r="K62" s="177">
        <f>T62</f>
        <v>103209213</v>
      </c>
      <c r="L62" s="94">
        <v>2625997</v>
      </c>
      <c r="M62" s="94">
        <v>44615324</v>
      </c>
      <c r="N62" s="109">
        <f t="shared" si="1"/>
        <v>21.189108029339874</v>
      </c>
      <c r="O62" s="110">
        <f>(J62)/(I62/N62)</f>
        <v>7.0518325615752868</v>
      </c>
      <c r="P62" s="111">
        <f t="shared" si="2"/>
        <v>133.94693044011657</v>
      </c>
      <c r="Q62" s="94">
        <v>48780927</v>
      </c>
      <c r="R62" s="94">
        <v>48780927</v>
      </c>
      <c r="S62" s="117">
        <f t="shared" si="3"/>
        <v>0</v>
      </c>
      <c r="T62" s="94">
        <v>103209213</v>
      </c>
      <c r="U62" s="94">
        <v>-30536759</v>
      </c>
      <c r="V62" s="200">
        <f t="shared" si="4"/>
        <v>-3.379835201240577</v>
      </c>
    </row>
    <row r="63" spans="2:22" ht="31.5">
      <c r="B63" s="210" t="s">
        <v>255</v>
      </c>
      <c r="C63" s="94">
        <v>491854559646</v>
      </c>
      <c r="D63" s="94">
        <v>445342122045</v>
      </c>
      <c r="E63" s="94">
        <v>716491912027</v>
      </c>
      <c r="F63" s="106">
        <f t="shared" si="0"/>
        <v>6.491690529961941E-2</v>
      </c>
      <c r="G63" s="94">
        <v>326708721310</v>
      </c>
      <c r="H63" s="94">
        <v>660299379470</v>
      </c>
      <c r="I63" s="95">
        <v>360</v>
      </c>
      <c r="J63" s="106">
        <f>$J$4/(H63/G63)</f>
        <v>178.1239591138276</v>
      </c>
      <c r="K63" s="177">
        <f>T63</f>
        <v>642668663300</v>
      </c>
      <c r="L63" s="94">
        <v>45664063706</v>
      </c>
      <c r="M63" s="94">
        <v>814572005112</v>
      </c>
      <c r="N63" s="109">
        <f t="shared" si="1"/>
        <v>20.181227480190291</v>
      </c>
      <c r="O63" s="110">
        <f>(J63)/(I63/N63)</f>
        <v>9.9854448293007483</v>
      </c>
      <c r="P63" s="111">
        <f t="shared" si="2"/>
        <v>188.31974176471715</v>
      </c>
      <c r="Q63" s="94">
        <v>224637352380</v>
      </c>
      <c r="R63" s="94">
        <v>327732962824</v>
      </c>
      <c r="S63" s="117">
        <f t="shared" si="3"/>
        <v>-103095610444</v>
      </c>
      <c r="T63" s="94">
        <v>642668663300</v>
      </c>
      <c r="U63" s="94">
        <v>73823248727</v>
      </c>
      <c r="V63" s="200">
        <f t="shared" si="4"/>
        <v>8.7055050323862453</v>
      </c>
    </row>
    <row r="64" spans="2:22" ht="15.75">
      <c r="B64" s="215" t="s">
        <v>75</v>
      </c>
      <c r="C64" s="94"/>
      <c r="D64" s="94"/>
      <c r="E64" s="94"/>
      <c r="F64" s="106" t="e">
        <f t="shared" si="0"/>
        <v>#DIV/0!</v>
      </c>
      <c r="G64" s="94"/>
      <c r="H64" s="94"/>
      <c r="I64" s="94"/>
      <c r="J64" s="106" t="e">
        <f>$J$4/(H64/G64)</f>
        <v>#DIV/0!</v>
      </c>
      <c r="K64" s="177">
        <f>T64</f>
        <v>0</v>
      </c>
      <c r="L64" s="94"/>
      <c r="M64" s="94"/>
      <c r="N64" s="109" t="e">
        <f t="shared" si="1"/>
        <v>#DIV/0!</v>
      </c>
      <c r="O64" s="110" t="e">
        <f>(J64)/(I64/N64)</f>
        <v>#DIV/0!</v>
      </c>
      <c r="P64" s="111" t="e">
        <f t="shared" si="2"/>
        <v>#DIV/0!</v>
      </c>
      <c r="Q64" s="94"/>
      <c r="R64" s="94"/>
      <c r="S64" s="117">
        <f t="shared" si="3"/>
        <v>0</v>
      </c>
      <c r="T64" s="94"/>
      <c r="U64" s="94"/>
      <c r="V64" s="200" t="e">
        <f t="shared" si="4"/>
        <v>#DIV/0!</v>
      </c>
    </row>
    <row r="65" spans="2:22" s="64" customFormat="1" ht="31.5">
      <c r="B65" s="204" t="s">
        <v>76</v>
      </c>
      <c r="C65" s="95">
        <v>240651118780</v>
      </c>
      <c r="D65" s="154">
        <v>184602687438</v>
      </c>
      <c r="E65" s="154">
        <v>106023569046</v>
      </c>
      <c r="F65" s="106">
        <f t="shared" si="0"/>
        <v>0.52864124313417993</v>
      </c>
      <c r="G65" s="154">
        <v>74595484757</v>
      </c>
      <c r="H65" s="154">
        <v>407378720657</v>
      </c>
      <c r="I65" s="95">
        <v>360</v>
      </c>
      <c r="J65" s="106">
        <f>$J$4/(H65/G65)</f>
        <v>65.91992450958314</v>
      </c>
      <c r="K65" s="177">
        <f>T65</f>
        <v>197870888906</v>
      </c>
      <c r="L65" s="95">
        <f>496701810+139255411913</f>
        <v>139752113723</v>
      </c>
      <c r="M65" s="95">
        <v>493881857454</v>
      </c>
      <c r="N65" s="109">
        <f t="shared" si="1"/>
        <v>101.86800786656944</v>
      </c>
      <c r="O65" s="110">
        <f>(J65)/(I65/N65)</f>
        <v>18.653142745849664</v>
      </c>
      <c r="P65" s="111">
        <f t="shared" si="2"/>
        <v>149.13478963030292</v>
      </c>
      <c r="Q65" s="154">
        <v>106023569046</v>
      </c>
      <c r="R65" s="154">
        <v>100460922918</v>
      </c>
      <c r="S65" s="117">
        <f t="shared" si="3"/>
        <v>5562646128</v>
      </c>
      <c r="T65" s="154">
        <v>197870888906</v>
      </c>
      <c r="U65" s="154">
        <v>148803798920</v>
      </c>
      <c r="V65" s="200">
        <f t="shared" si="4"/>
        <v>1.3297435303542182</v>
      </c>
    </row>
    <row r="66" spans="2:22" ht="31.5">
      <c r="B66" s="204" t="s">
        <v>256</v>
      </c>
      <c r="C66" s="94">
        <v>1446452055</v>
      </c>
      <c r="D66" s="94">
        <v>374527344</v>
      </c>
      <c r="E66" s="94">
        <v>1902367770</v>
      </c>
      <c r="F66" s="106">
        <f t="shared" si="0"/>
        <v>0.56346870878705013</v>
      </c>
      <c r="G66" s="94">
        <v>366696284</v>
      </c>
      <c r="H66" s="94">
        <v>617264274</v>
      </c>
      <c r="I66" s="95">
        <v>360</v>
      </c>
      <c r="J66" s="106">
        <f>$J$4/(H66/G66)</f>
        <v>213.86408998619609</v>
      </c>
      <c r="K66" s="177">
        <f>T66</f>
        <v>677511744</v>
      </c>
      <c r="L66" s="94">
        <f>7097226+455891051</f>
        <v>462988277</v>
      </c>
      <c r="M66" s="94">
        <v>894481711</v>
      </c>
      <c r="N66" s="109">
        <f t="shared" si="1"/>
        <v>186.33782856629028</v>
      </c>
      <c r="O66" s="110">
        <f>(J66)/(I66/N66)</f>
        <v>110.69713926759302</v>
      </c>
      <c r="P66" s="111">
        <f t="shared" si="2"/>
        <v>289.5047792848934</v>
      </c>
      <c r="Q66" s="94">
        <v>455915715</v>
      </c>
      <c r="R66" s="94">
        <v>329484591</v>
      </c>
      <c r="S66" s="117">
        <f t="shared" si="3"/>
        <v>126431124</v>
      </c>
      <c r="T66" s="94">
        <v>677511744</v>
      </c>
      <c r="U66" s="94">
        <v>1066604241</v>
      </c>
      <c r="V66" s="200">
        <f t="shared" si="4"/>
        <v>0.6352044347440392</v>
      </c>
    </row>
    <row r="67" spans="2:22" ht="31.5">
      <c r="B67" s="204" t="s">
        <v>257</v>
      </c>
      <c r="C67" s="94">
        <v>1795623302020</v>
      </c>
      <c r="D67" s="94">
        <v>1838653252008</v>
      </c>
      <c r="E67" s="94">
        <v>5581000723345</v>
      </c>
      <c r="F67" s="106">
        <f t="shared" si="0"/>
        <v>-7.7100778374760339E-3</v>
      </c>
      <c r="G67" s="94">
        <v>829904363829</v>
      </c>
      <c r="H67" s="94">
        <v>4880425417320</v>
      </c>
      <c r="I67" s="95">
        <v>360</v>
      </c>
      <c r="J67" s="106">
        <f>$J$4/(H67/G67)</f>
        <v>61.21711642558035</v>
      </c>
      <c r="K67" s="177">
        <f>T67</f>
        <v>3964899470440</v>
      </c>
      <c r="L67" s="94">
        <v>811094229923</v>
      </c>
      <c r="M67" s="94">
        <v>5456935920101</v>
      </c>
      <c r="N67" s="109">
        <f t="shared" si="1"/>
        <v>53.508768848961601</v>
      </c>
      <c r="O67" s="110">
        <f>(J67)/(I67/N67)</f>
        <v>9.0990348122676377</v>
      </c>
      <c r="P67" s="111">
        <f t="shared" si="2"/>
        <v>105.62685046227432</v>
      </c>
      <c r="Q67" s="94">
        <v>3785377421325</v>
      </c>
      <c r="R67" s="94">
        <v>3832220519131</v>
      </c>
      <c r="S67" s="117">
        <f t="shared" si="3"/>
        <v>-46843097806</v>
      </c>
      <c r="T67" s="94">
        <v>3964899470440</v>
      </c>
      <c r="U67" s="94">
        <v>1616101252905</v>
      </c>
      <c r="V67" s="200">
        <f t="shared" si="4"/>
        <v>2.4533731802465661</v>
      </c>
    </row>
    <row r="68" spans="2:22" ht="31.5">
      <c r="B68" s="204" t="s">
        <v>258</v>
      </c>
      <c r="C68" s="94">
        <v>1657506</v>
      </c>
      <c r="D68" s="94">
        <v>1200115</v>
      </c>
      <c r="E68" s="94">
        <v>6519273</v>
      </c>
      <c r="F68" s="106">
        <f t="shared" si="0"/>
        <v>7.0159816899829169E-2</v>
      </c>
      <c r="G68" s="94">
        <v>870958</v>
      </c>
      <c r="H68" s="94">
        <v>2181252</v>
      </c>
      <c r="I68" s="95">
        <v>360</v>
      </c>
      <c r="J68" s="106">
        <f>$J$4/(H68/G68)</f>
        <v>143.74537192401428</v>
      </c>
      <c r="K68" s="177" t="str">
        <f>T68</f>
        <v>4 118760</v>
      </c>
      <c r="L68" s="94">
        <f>143448+60419</f>
        <v>203867</v>
      </c>
      <c r="M68" s="94">
        <v>2635037</v>
      </c>
      <c r="N68" s="109">
        <f t="shared" si="1"/>
        <v>27.852405867545691</v>
      </c>
      <c r="O68" s="110">
        <f>(J68)/(I68/N68)</f>
        <v>11.121262334469314</v>
      </c>
      <c r="P68" s="111">
        <f t="shared" si="2"/>
        <v>160.47651545709064</v>
      </c>
      <c r="Q68" s="94">
        <v>4861767</v>
      </c>
      <c r="R68" s="94">
        <v>5002782</v>
      </c>
      <c r="S68" s="117">
        <f t="shared" si="3"/>
        <v>-141015</v>
      </c>
      <c r="T68" s="94" t="s">
        <v>259</v>
      </c>
      <c r="U68" s="94" t="s">
        <v>260</v>
      </c>
      <c r="V68" s="200" t="e">
        <f t="shared" si="4"/>
        <v>#VALUE!</v>
      </c>
    </row>
    <row r="69" spans="2:22" ht="31.5">
      <c r="B69" s="204" t="s">
        <v>261</v>
      </c>
      <c r="C69" s="183">
        <v>556324706587</v>
      </c>
      <c r="D69" s="183">
        <v>406688594384</v>
      </c>
      <c r="E69" s="183">
        <v>960332553887</v>
      </c>
      <c r="F69" s="106">
        <f t="shared" si="0"/>
        <v>0.15581697360704833</v>
      </c>
      <c r="G69" s="183">
        <v>185033672765</v>
      </c>
      <c r="H69" s="183">
        <v>1394909156732</v>
      </c>
      <c r="I69" s="95">
        <v>360</v>
      </c>
      <c r="J69" s="106">
        <f>$J$4/(H69/G69)</f>
        <v>47.753734982612919</v>
      </c>
      <c r="K69" s="177">
        <f>T69</f>
        <v>588299859463</v>
      </c>
      <c r="L69" s="183">
        <v>296104466395</v>
      </c>
      <c r="M69" s="94">
        <v>1626232662544</v>
      </c>
      <c r="N69" s="109">
        <f t="shared" si="1"/>
        <v>65.548805135572579</v>
      </c>
      <c r="O69" s="110">
        <f>(J69)/(I69/N69)</f>
        <v>8.695000746864082</v>
      </c>
      <c r="P69" s="111">
        <f t="shared" si="2"/>
        <v>104.60753937132142</v>
      </c>
      <c r="Q69" s="183">
        <v>404007847300</v>
      </c>
      <c r="R69" s="183">
        <v>364647644279</v>
      </c>
      <c r="S69" s="117">
        <f t="shared" si="3"/>
        <v>39360203021</v>
      </c>
      <c r="T69" s="216">
        <v>588299859463</v>
      </c>
      <c r="U69" s="216">
        <v>372032694424</v>
      </c>
      <c r="V69" s="200">
        <f t="shared" si="4"/>
        <v>1.5813122563699298</v>
      </c>
    </row>
    <row r="70" spans="2:22" ht="47.25">
      <c r="B70" s="204" t="s">
        <v>262</v>
      </c>
      <c r="C70" s="94">
        <v>127838420935</v>
      </c>
      <c r="D70" s="94">
        <v>71285195690</v>
      </c>
      <c r="E70" s="94">
        <v>1298895336018</v>
      </c>
      <c r="F70" s="106">
        <f t="shared" ref="F70:F133" si="5">(C70-D70)/E70</f>
        <v>4.3539478260330201E-2</v>
      </c>
      <c r="G70" s="94">
        <v>16458960535</v>
      </c>
      <c r="H70" s="94">
        <v>23104144856</v>
      </c>
      <c r="I70" s="95">
        <v>360</v>
      </c>
      <c r="J70" s="106">
        <f>$J$4/(H70/G70)</f>
        <v>256.45726468258601</v>
      </c>
      <c r="K70" s="177">
        <f>T70</f>
        <v>621855911958</v>
      </c>
      <c r="L70" s="94">
        <v>35674876373</v>
      </c>
      <c r="M70" s="94">
        <v>34719548322</v>
      </c>
      <c r="N70" s="109">
        <f t="shared" si="1"/>
        <v>369.90560404675762</v>
      </c>
      <c r="O70" s="110">
        <f>(J70)/(I70/N70)</f>
        <v>263.51383167941992</v>
      </c>
      <c r="P70" s="111">
        <f t="shared" si="2"/>
        <v>362.84903704992371</v>
      </c>
      <c r="Q70" s="94">
        <v>1171056915083</v>
      </c>
      <c r="R70" s="94">
        <v>711509357760</v>
      </c>
      <c r="S70" s="117">
        <f t="shared" si="3"/>
        <v>459547557323</v>
      </c>
      <c r="T70" s="94">
        <v>621855911958</v>
      </c>
      <c r="U70" s="94">
        <v>677039424060</v>
      </c>
      <c r="V70" s="200">
        <f t="shared" si="4"/>
        <v>0.91849291172575853</v>
      </c>
    </row>
    <row r="71" spans="2:22" ht="31.5">
      <c r="B71" s="204" t="s">
        <v>263</v>
      </c>
      <c r="C71" s="94">
        <v>1067583</v>
      </c>
      <c r="D71" s="151">
        <v>561851</v>
      </c>
      <c r="E71" s="151">
        <v>2710936</v>
      </c>
      <c r="F71" s="106">
        <f t="shared" si="5"/>
        <v>0.1865525412625012</v>
      </c>
      <c r="G71" s="151">
        <v>3163</v>
      </c>
      <c r="H71" s="151">
        <v>818076</v>
      </c>
      <c r="I71" s="95">
        <v>360</v>
      </c>
      <c r="J71" s="106">
        <f>$J$4/(H71/G71)</f>
        <v>1.3919000190691329</v>
      </c>
      <c r="K71" s="177">
        <f>T71</f>
        <v>1779629</v>
      </c>
      <c r="L71" s="94">
        <f>35973+93782</f>
        <v>129755</v>
      </c>
      <c r="M71" s="94">
        <v>1194755</v>
      </c>
      <c r="N71" s="109">
        <f t="shared" ref="N71:N134" si="6">(I71)/(M71/L71)</f>
        <v>39.097388167448557</v>
      </c>
      <c r="O71" s="110">
        <f>(J71)/(I71/N71)</f>
        <v>0.15116570926618039</v>
      </c>
      <c r="P71" s="111">
        <f t="shared" ref="P71:P134" si="7">J71+N71-O71</f>
        <v>40.33812247725151</v>
      </c>
      <c r="Q71" s="151">
        <v>1643353</v>
      </c>
      <c r="R71" s="94">
        <v>1406100</v>
      </c>
      <c r="S71" s="117">
        <f t="shared" ref="S71:S134" si="8">Q71-R71</f>
        <v>237253</v>
      </c>
      <c r="T71" s="151">
        <v>1779629</v>
      </c>
      <c r="U71" s="151">
        <v>931307</v>
      </c>
      <c r="V71" s="200">
        <f t="shared" ref="V71:V134" si="9">T71/U71</f>
        <v>1.9108940446061289</v>
      </c>
    </row>
    <row r="72" spans="2:22" ht="31.5" customHeight="1">
      <c r="B72" s="204" t="s">
        <v>264</v>
      </c>
      <c r="C72" s="94">
        <v>682792074636</v>
      </c>
      <c r="D72" s="94">
        <v>186961154130</v>
      </c>
      <c r="E72" s="94">
        <v>2091957078669</v>
      </c>
      <c r="F72" s="106">
        <f t="shared" si="5"/>
        <v>0.23701773117709976</v>
      </c>
      <c r="G72" s="94">
        <v>387969639852</v>
      </c>
      <c r="H72" s="94">
        <v>1289878051706</v>
      </c>
      <c r="I72" s="95">
        <v>360</v>
      </c>
      <c r="J72" s="106">
        <f>$J$4/(H72/G72)</f>
        <v>108.28083334078978</v>
      </c>
      <c r="K72" s="177">
        <f>T72</f>
        <v>1296175354250</v>
      </c>
      <c r="L72" s="94">
        <f>179215525111+1492822467</f>
        <v>180708347578</v>
      </c>
      <c r="M72" s="94">
        <v>1550810295608</v>
      </c>
      <c r="N72" s="109">
        <f t="shared" si="6"/>
        <v>41.949041293006758</v>
      </c>
      <c r="O72" s="110">
        <f>(J72)/(I72/N72)</f>
        <v>12.617436525149927</v>
      </c>
      <c r="P72" s="111">
        <f t="shared" si="7"/>
        <v>137.61243810864664</v>
      </c>
      <c r="Q72" s="94">
        <v>1409165004033</v>
      </c>
      <c r="R72" s="94">
        <v>1219023466962</v>
      </c>
      <c r="S72" s="117">
        <f t="shared" si="8"/>
        <v>190141537071</v>
      </c>
      <c r="T72" s="94">
        <v>1296175354250</v>
      </c>
      <c r="U72" s="94">
        <v>795781724419</v>
      </c>
      <c r="V72" s="200">
        <f t="shared" si="9"/>
        <v>1.6288076421915032</v>
      </c>
    </row>
    <row r="73" spans="2:22" s="64" customFormat="1" ht="31.5">
      <c r="B73" s="204" t="s">
        <v>265</v>
      </c>
      <c r="C73" s="95">
        <v>51876</v>
      </c>
      <c r="D73" s="154">
        <v>51725</v>
      </c>
      <c r="E73" s="154">
        <v>330234</v>
      </c>
      <c r="F73" s="106">
        <f t="shared" si="5"/>
        <v>4.5725152467644155E-4</v>
      </c>
      <c r="G73" s="95">
        <v>31551</v>
      </c>
      <c r="H73" s="154">
        <v>9148</v>
      </c>
      <c r="I73" s="95">
        <v>360</v>
      </c>
      <c r="J73" s="106">
        <f>$J$4/(H73/G73)</f>
        <v>1241.6222125054658</v>
      </c>
      <c r="K73" s="177">
        <f>T73</f>
        <v>202740</v>
      </c>
      <c r="L73" s="95">
        <v>339</v>
      </c>
      <c r="M73" s="95">
        <v>109193</v>
      </c>
      <c r="N73" s="109">
        <f t="shared" si="6"/>
        <v>1.1176540620735762</v>
      </c>
      <c r="O73" s="110">
        <f>(J73)/(I73/N73)</f>
        <v>3.8547336371319858</v>
      </c>
      <c r="P73" s="111">
        <f t="shared" si="7"/>
        <v>1238.8851329304073</v>
      </c>
      <c r="Q73" s="154">
        <v>278358</v>
      </c>
      <c r="R73" s="154">
        <v>272235</v>
      </c>
      <c r="S73" s="117">
        <f t="shared" si="8"/>
        <v>6123</v>
      </c>
      <c r="T73" s="95">
        <f>51725+151015</f>
        <v>202740</v>
      </c>
      <c r="U73" s="154">
        <v>127494</v>
      </c>
      <c r="V73" s="200">
        <f t="shared" si="9"/>
        <v>1.5901924796461009</v>
      </c>
    </row>
    <row r="74" spans="2:22" ht="15.75">
      <c r="B74" s="114"/>
      <c r="C74" s="94"/>
      <c r="D74" s="94"/>
      <c r="E74" s="94"/>
      <c r="F74" s="106" t="e">
        <f t="shared" si="5"/>
        <v>#DIV/0!</v>
      </c>
      <c r="G74" s="94"/>
      <c r="H74" s="94"/>
      <c r="I74" s="94"/>
      <c r="J74" s="106" t="e">
        <f>$J$4/(H74/G74)</f>
        <v>#DIV/0!</v>
      </c>
      <c r="K74" s="177">
        <f>T74</f>
        <v>0</v>
      </c>
      <c r="L74" s="94"/>
      <c r="M74" s="94"/>
      <c r="N74" s="109" t="e">
        <f t="shared" si="6"/>
        <v>#DIV/0!</v>
      </c>
      <c r="O74" s="110" t="e">
        <f>(J74)/(I74/N74)</f>
        <v>#DIV/0!</v>
      </c>
      <c r="P74" s="111" t="e">
        <f t="shared" si="7"/>
        <v>#DIV/0!</v>
      </c>
      <c r="Q74" s="94"/>
      <c r="R74" s="94"/>
      <c r="S74" s="117">
        <f t="shared" si="8"/>
        <v>0</v>
      </c>
      <c r="T74" s="94"/>
      <c r="U74" s="94"/>
      <c r="V74" s="200" t="e">
        <f t="shared" si="9"/>
        <v>#DIV/0!</v>
      </c>
    </row>
    <row r="75" spans="2:22" ht="15.75">
      <c r="B75" s="114"/>
      <c r="C75" s="94"/>
      <c r="D75" s="94"/>
      <c r="E75" s="94"/>
      <c r="F75" s="106" t="e">
        <f t="shared" si="5"/>
        <v>#DIV/0!</v>
      </c>
      <c r="G75" s="94"/>
      <c r="H75" s="94"/>
      <c r="I75" s="94"/>
      <c r="J75" s="106" t="e">
        <f>$J$4/(H75/G75)</f>
        <v>#DIV/0!</v>
      </c>
      <c r="K75" s="177">
        <f>T75</f>
        <v>0</v>
      </c>
      <c r="L75" s="94"/>
      <c r="M75" s="94"/>
      <c r="N75" s="109" t="e">
        <f t="shared" si="6"/>
        <v>#DIV/0!</v>
      </c>
      <c r="O75" s="110" t="e">
        <f>(J75)/(I75/N75)</f>
        <v>#DIV/0!</v>
      </c>
      <c r="P75" s="111" t="e">
        <f t="shared" si="7"/>
        <v>#DIV/0!</v>
      </c>
      <c r="Q75" s="94"/>
      <c r="R75" s="94"/>
      <c r="S75" s="117">
        <f t="shared" si="8"/>
        <v>0</v>
      </c>
      <c r="T75" s="94"/>
      <c r="U75" s="94"/>
      <c r="V75" s="200" t="e">
        <f t="shared" si="9"/>
        <v>#DIV/0!</v>
      </c>
    </row>
    <row r="76" spans="2:22" ht="31.5">
      <c r="B76" s="199" t="s">
        <v>85</v>
      </c>
      <c r="C76" s="94"/>
      <c r="D76" s="94"/>
      <c r="E76" s="94"/>
      <c r="F76" s="106" t="e">
        <f t="shared" si="5"/>
        <v>#DIV/0!</v>
      </c>
      <c r="G76" s="94"/>
      <c r="H76" s="94"/>
      <c r="I76" s="94"/>
      <c r="J76" s="106" t="e">
        <f>$J$4/(H76/G76)</f>
        <v>#DIV/0!</v>
      </c>
      <c r="K76" s="177">
        <f>T76</f>
        <v>0</v>
      </c>
      <c r="L76" s="94"/>
      <c r="M76" s="94"/>
      <c r="N76" s="109" t="e">
        <f t="shared" si="6"/>
        <v>#DIV/0!</v>
      </c>
      <c r="O76" s="110" t="e">
        <f>(J76)/(I76/N76)</f>
        <v>#DIV/0!</v>
      </c>
      <c r="P76" s="111" t="e">
        <f t="shared" si="7"/>
        <v>#DIV/0!</v>
      </c>
      <c r="Q76" s="94"/>
      <c r="R76" s="94"/>
      <c r="S76" s="117">
        <f t="shared" si="8"/>
        <v>0</v>
      </c>
      <c r="T76" s="94"/>
      <c r="U76" s="94"/>
      <c r="V76" s="200" t="e">
        <f t="shared" si="9"/>
        <v>#DIV/0!</v>
      </c>
    </row>
    <row r="77" spans="2:22" ht="47.25">
      <c r="B77" s="212" t="s">
        <v>86</v>
      </c>
      <c r="C77" s="94"/>
      <c r="D77" s="94"/>
      <c r="E77" s="94"/>
      <c r="F77" s="106" t="e">
        <f t="shared" si="5"/>
        <v>#DIV/0!</v>
      </c>
      <c r="G77" s="94"/>
      <c r="H77" s="94"/>
      <c r="I77" s="94"/>
      <c r="J77" s="106" t="e">
        <f>$J$4/(H77/G77)</f>
        <v>#DIV/0!</v>
      </c>
      <c r="K77" s="177">
        <f>T77</f>
        <v>0</v>
      </c>
      <c r="L77" s="94"/>
      <c r="M77" s="94"/>
      <c r="N77" s="109" t="e">
        <f t="shared" si="6"/>
        <v>#DIV/0!</v>
      </c>
      <c r="O77" s="110" t="e">
        <f>(J77)/(I77/N77)</f>
        <v>#DIV/0!</v>
      </c>
      <c r="P77" s="111" t="e">
        <f t="shared" si="7"/>
        <v>#DIV/0!</v>
      </c>
      <c r="Q77" s="94"/>
      <c r="R77" s="94"/>
      <c r="S77" s="117">
        <f t="shared" si="8"/>
        <v>0</v>
      </c>
      <c r="T77" s="94"/>
      <c r="U77" s="94"/>
      <c r="V77" s="200" t="e">
        <f t="shared" si="9"/>
        <v>#DIV/0!</v>
      </c>
    </row>
    <row r="78" spans="2:22" ht="31.5">
      <c r="B78" s="204" t="s">
        <v>266</v>
      </c>
      <c r="C78" s="94">
        <v>386280337452</v>
      </c>
      <c r="D78" s="94">
        <v>261027989073</v>
      </c>
      <c r="E78" s="94">
        <v>480333185402</v>
      </c>
      <c r="F78" s="106">
        <f t="shared" si="5"/>
        <v>0.26076138852278952</v>
      </c>
      <c r="G78" s="94">
        <v>263798824555</v>
      </c>
      <c r="H78" s="94">
        <v>155084630061</v>
      </c>
      <c r="I78" s="95">
        <v>360</v>
      </c>
      <c r="J78" s="106">
        <f>$J$4/(H78/G78)</f>
        <v>612.35969549300955</v>
      </c>
      <c r="K78" s="177">
        <f>T78</f>
        <v>296935514341</v>
      </c>
      <c r="L78" s="94">
        <v>87354499797</v>
      </c>
      <c r="M78" s="94">
        <v>286048380773</v>
      </c>
      <c r="N78" s="109">
        <f t="shared" si="6"/>
        <v>109.93811551017292</v>
      </c>
      <c r="O78" s="110">
        <f>(J78)/(I78/N78)</f>
        <v>187.00464149134666</v>
      </c>
      <c r="P78" s="111">
        <f t="shared" si="7"/>
        <v>535.2931695118358</v>
      </c>
      <c r="Q78" s="94">
        <v>94052847950</v>
      </c>
      <c r="R78" s="94">
        <v>68009063637</v>
      </c>
      <c r="S78" s="117">
        <f t="shared" si="8"/>
        <v>26043784313</v>
      </c>
      <c r="T78" s="94">
        <f>261027989073+35907525268</f>
        <v>296935514341</v>
      </c>
      <c r="U78" s="94">
        <v>183397671061</v>
      </c>
      <c r="V78" s="200">
        <f t="shared" si="9"/>
        <v>1.6190800713180056</v>
      </c>
    </row>
    <row r="79" spans="2:22" ht="31.5">
      <c r="B79" s="212" t="s">
        <v>88</v>
      </c>
      <c r="C79" s="94"/>
      <c r="D79" s="94"/>
      <c r="E79" s="94"/>
      <c r="F79" s="106" t="e">
        <f t="shared" si="5"/>
        <v>#DIV/0!</v>
      </c>
      <c r="G79" s="94"/>
      <c r="H79" s="94"/>
      <c r="I79" s="95">
        <v>360</v>
      </c>
      <c r="J79" s="106" t="e">
        <f>$J$4/(H79/G79)</f>
        <v>#DIV/0!</v>
      </c>
      <c r="K79" s="177">
        <f>T79</f>
        <v>0</v>
      </c>
      <c r="L79" s="94"/>
      <c r="M79" s="94"/>
      <c r="N79" s="109" t="e">
        <f t="shared" si="6"/>
        <v>#DIV/0!</v>
      </c>
      <c r="O79" s="110" t="e">
        <f>(J79)/(I79/N79)</f>
        <v>#DIV/0!</v>
      </c>
      <c r="P79" s="111" t="e">
        <f t="shared" si="7"/>
        <v>#DIV/0!</v>
      </c>
      <c r="Q79" s="94"/>
      <c r="R79" s="94"/>
      <c r="S79" s="117">
        <f t="shared" si="8"/>
        <v>0</v>
      </c>
      <c r="T79" s="94"/>
      <c r="U79" s="94"/>
      <c r="V79" s="200" t="e">
        <f t="shared" si="9"/>
        <v>#DIV/0!</v>
      </c>
    </row>
    <row r="80" spans="2:22" s="63" customFormat="1" ht="31.5">
      <c r="B80" s="213" t="s">
        <v>267</v>
      </c>
      <c r="C80" s="94">
        <v>97241</v>
      </c>
      <c r="D80" s="94">
        <v>74241</v>
      </c>
      <c r="E80" s="94">
        <v>236027</v>
      </c>
      <c r="F80" s="106">
        <f t="shared" si="5"/>
        <v>9.7446478580840323E-2</v>
      </c>
      <c r="G80" s="94">
        <v>16986</v>
      </c>
      <c r="H80" s="94">
        <v>162892</v>
      </c>
      <c r="I80" s="95">
        <v>360</v>
      </c>
      <c r="J80" s="106">
        <f>$J$4/(H80/G80)</f>
        <v>37.53996513027036</v>
      </c>
      <c r="K80" s="177">
        <f>T80</f>
        <v>115840</v>
      </c>
      <c r="L80" s="94">
        <f>909+20423</f>
        <v>21332</v>
      </c>
      <c r="M80" s="94">
        <v>201701</v>
      </c>
      <c r="N80" s="109">
        <f t="shared" si="6"/>
        <v>38.073782480007537</v>
      </c>
      <c r="O80" s="110">
        <f>(J80)/(I80/N80)</f>
        <v>3.9702457407693927</v>
      </c>
      <c r="P80" s="111">
        <f t="shared" si="7"/>
        <v>71.643501869508498</v>
      </c>
      <c r="Q80" s="94">
        <v>138786</v>
      </c>
      <c r="R80" s="94">
        <v>125642</v>
      </c>
      <c r="S80" s="117">
        <f t="shared" si="8"/>
        <v>13144</v>
      </c>
      <c r="T80" s="94">
        <v>115840</v>
      </c>
      <c r="U80" s="94">
        <v>120187</v>
      </c>
      <c r="V80" s="200">
        <f t="shared" si="9"/>
        <v>0.96383136279298098</v>
      </c>
    </row>
    <row r="81" spans="2:22" s="63" customFormat="1" ht="31.5">
      <c r="B81" s="213" t="s">
        <v>268</v>
      </c>
      <c r="C81" s="94">
        <v>5138080</v>
      </c>
      <c r="D81" s="94">
        <v>3857809</v>
      </c>
      <c r="E81" s="94">
        <v>14387568</v>
      </c>
      <c r="F81" s="106">
        <f t="shared" si="5"/>
        <v>8.8984531645654077E-2</v>
      </c>
      <c r="G81" s="94">
        <v>1718663</v>
      </c>
      <c r="H81" s="94">
        <v>10500112</v>
      </c>
      <c r="I81" s="95">
        <v>360</v>
      </c>
      <c r="J81" s="106">
        <f>$J$4/(H81/G81)</f>
        <v>58.92496003852149</v>
      </c>
      <c r="K81" s="177">
        <f>T81</f>
        <v>4244862</v>
      </c>
      <c r="L81" s="94">
        <f>1093768+584687</f>
        <v>1678455</v>
      </c>
      <c r="M81" s="94">
        <v>12255427</v>
      </c>
      <c r="N81" s="109">
        <f t="shared" si="6"/>
        <v>49.304181731081258</v>
      </c>
      <c r="O81" s="110">
        <f>(J81)/(I81/N81)</f>
        <v>8.0701303839887899</v>
      </c>
      <c r="P81" s="111">
        <f t="shared" si="7"/>
        <v>100.15901138561395</v>
      </c>
      <c r="Q81" s="94">
        <v>9249488</v>
      </c>
      <c r="R81" s="94">
        <v>7588161</v>
      </c>
      <c r="S81" s="117">
        <f t="shared" si="8"/>
        <v>1661327</v>
      </c>
      <c r="T81" s="94">
        <v>4244862</v>
      </c>
      <c r="U81" s="94">
        <v>10142706</v>
      </c>
      <c r="V81" s="200">
        <f t="shared" si="9"/>
        <v>0.41851375757120435</v>
      </c>
    </row>
    <row r="82" spans="2:22" s="64" customFormat="1" ht="36.75" customHeight="1">
      <c r="B82" s="204" t="s">
        <v>269</v>
      </c>
      <c r="C82" s="95">
        <v>6283252</v>
      </c>
      <c r="D82" s="146">
        <v>3116223</v>
      </c>
      <c r="E82" s="95">
        <v>16122036</v>
      </c>
      <c r="F82" s="106">
        <f t="shared" si="5"/>
        <v>0.19644100782308141</v>
      </c>
      <c r="G82" s="95">
        <v>2247074</v>
      </c>
      <c r="H82" s="146">
        <v>13070734</v>
      </c>
      <c r="I82" s="95">
        <v>360</v>
      </c>
      <c r="J82" s="106">
        <f>$J$4/(H82/G82)</f>
        <v>61.889916817219287</v>
      </c>
      <c r="K82" s="177">
        <f>T82</f>
        <v>10485032</v>
      </c>
      <c r="L82" s="95">
        <f>211048+1857526</f>
        <v>2068574</v>
      </c>
      <c r="M82" s="95">
        <v>13070734</v>
      </c>
      <c r="N82" s="109">
        <f t="shared" si="6"/>
        <v>56.973590006498483</v>
      </c>
      <c r="O82" s="110">
        <f>(J82)/(I82/N82)</f>
        <v>9.7946965174459653</v>
      </c>
      <c r="P82" s="111">
        <f t="shared" si="7"/>
        <v>109.0688103062718</v>
      </c>
      <c r="Q82" s="154">
        <v>9838784</v>
      </c>
      <c r="R82" s="154">
        <v>8567160</v>
      </c>
      <c r="S82" s="117">
        <f t="shared" si="8"/>
        <v>1271624</v>
      </c>
      <c r="T82" s="143">
        <v>10485032</v>
      </c>
      <c r="U82" s="143">
        <v>5637004</v>
      </c>
      <c r="V82" s="200">
        <f t="shared" si="9"/>
        <v>1.8600362887803521</v>
      </c>
    </row>
    <row r="83" spans="2:22" ht="33" customHeight="1">
      <c r="B83" s="204" t="s">
        <v>270</v>
      </c>
      <c r="C83" s="94">
        <v>109402632</v>
      </c>
      <c r="D83" s="94">
        <v>77282258</v>
      </c>
      <c r="E83" s="94">
        <v>308318277</v>
      </c>
      <c r="F83" s="106">
        <f t="shared" si="5"/>
        <v>0.10417927316063719</v>
      </c>
      <c r="G83" s="94">
        <v>52997342</v>
      </c>
      <c r="H83" s="94">
        <v>172750271</v>
      </c>
      <c r="I83" s="95">
        <v>360</v>
      </c>
      <c r="J83" s="106">
        <f>$J$4/(H83/G83)</f>
        <v>110.44291282182706</v>
      </c>
      <c r="K83" s="177">
        <f>T83</f>
        <v>130627655</v>
      </c>
      <c r="L83" s="94">
        <f>767257+29262204</f>
        <v>30029461</v>
      </c>
      <c r="M83" s="94">
        <v>207717046</v>
      </c>
      <c r="N83" s="109">
        <f t="shared" si="6"/>
        <v>52.04486664999078</v>
      </c>
      <c r="O83" s="110">
        <f>(J83)/(I83/N83)</f>
        <v>15.966629639579295</v>
      </c>
      <c r="P83" s="111">
        <f t="shared" si="7"/>
        <v>146.52114983223856</v>
      </c>
      <c r="Q83" s="94">
        <v>198915645</v>
      </c>
      <c r="R83" s="94">
        <v>147494782</v>
      </c>
      <c r="S83" s="117">
        <f t="shared" si="8"/>
        <v>51420863</v>
      </c>
      <c r="T83" s="94">
        <v>130627655</v>
      </c>
      <c r="U83" s="94">
        <v>177690622</v>
      </c>
      <c r="V83" s="200">
        <f t="shared" si="9"/>
        <v>0.73514096315111099</v>
      </c>
    </row>
    <row r="84" spans="2:22" ht="31.5">
      <c r="B84" s="204" t="s">
        <v>271</v>
      </c>
      <c r="C84" s="94">
        <v>11845370194860</v>
      </c>
      <c r="D84" s="94">
        <v>11473255532702</v>
      </c>
      <c r="E84" s="94">
        <v>23473796788460</v>
      </c>
      <c r="F84" s="106">
        <f t="shared" si="5"/>
        <v>1.5852342316473322E-2</v>
      </c>
      <c r="G84" s="94">
        <v>3366038875959</v>
      </c>
      <c r="H84" s="94">
        <v>16822193875496</v>
      </c>
      <c r="I84" s="95">
        <v>360</v>
      </c>
      <c r="J84" s="106">
        <f>$J$4/(H84/G84)</f>
        <v>72.034242638849094</v>
      </c>
      <c r="K84" s="177">
        <f>T84</f>
        <v>16753973180065</v>
      </c>
      <c r="L84" s="94">
        <f>180310678489+2264003824116</f>
        <v>2444314502605</v>
      </c>
      <c r="M84" s="94">
        <v>19458165173088</v>
      </c>
      <c r="N84" s="109">
        <f t="shared" si="6"/>
        <v>45.222826156026095</v>
      </c>
      <c r="O84" s="110">
        <f>(J84)/(I84/N84)</f>
        <v>9.0488667559379863</v>
      </c>
      <c r="P84" s="111">
        <f t="shared" si="7"/>
        <v>108.2082020389372</v>
      </c>
      <c r="Q84" s="94">
        <v>11628426593600</v>
      </c>
      <c r="R84" s="94">
        <v>10687163582970</v>
      </c>
      <c r="S84" s="117">
        <f t="shared" si="8"/>
        <v>941263010630</v>
      </c>
      <c r="T84" s="94">
        <v>16753973180065</v>
      </c>
      <c r="U84" s="94">
        <v>6719823608395</v>
      </c>
      <c r="V84" s="200">
        <f t="shared" si="9"/>
        <v>2.4932162146539754</v>
      </c>
    </row>
    <row r="85" spans="2:22" s="64" customFormat="1" ht="30.75" customHeight="1">
      <c r="B85" s="204" t="s">
        <v>272</v>
      </c>
      <c r="C85" s="95">
        <v>975954232621</v>
      </c>
      <c r="D85" s="151">
        <v>335123443361</v>
      </c>
      <c r="E85" s="151">
        <v>2282666078493</v>
      </c>
      <c r="F85" s="106">
        <f t="shared" si="5"/>
        <v>0.28073785968864617</v>
      </c>
      <c r="G85" s="146">
        <v>478330720924</v>
      </c>
      <c r="H85" s="146">
        <v>1548363389709</v>
      </c>
      <c r="I85" s="95">
        <v>360</v>
      </c>
      <c r="J85" s="106">
        <f>$J$4/(H85/G85)</f>
        <v>111.21359538538506</v>
      </c>
      <c r="K85" s="177">
        <f>T85</f>
        <v>459998606660</v>
      </c>
      <c r="L85" s="95">
        <f>322645814625+16592851541</f>
        <v>339238666166</v>
      </c>
      <c r="M85" s="95">
        <v>1866977260105</v>
      </c>
      <c r="N85" s="109">
        <f t="shared" si="6"/>
        <v>65.413715758322382</v>
      </c>
      <c r="O85" s="110">
        <f>(J85)/(I85/N85)</f>
        <v>20.208040325001811</v>
      </c>
      <c r="P85" s="111">
        <f t="shared" si="7"/>
        <v>156.41927081870566</v>
      </c>
      <c r="Q85" s="143">
        <v>1306711845872</v>
      </c>
      <c r="R85" s="143">
        <v>1109927585422</v>
      </c>
      <c r="S85" s="117">
        <f t="shared" si="8"/>
        <v>196784260450</v>
      </c>
      <c r="T85" s="143">
        <v>459998606660</v>
      </c>
      <c r="U85" s="143">
        <v>1822667471833</v>
      </c>
      <c r="V85" s="200">
        <f t="shared" si="9"/>
        <v>0.25237659297084714</v>
      </c>
    </row>
    <row r="86" spans="2:22" s="64" customFormat="1" ht="31.5">
      <c r="B86" s="204" t="s">
        <v>273</v>
      </c>
      <c r="C86" s="95">
        <v>84882248726</v>
      </c>
      <c r="D86" s="151">
        <v>39239103933</v>
      </c>
      <c r="E86" s="211">
        <v>185595748325</v>
      </c>
      <c r="F86" s="106">
        <f t="shared" si="5"/>
        <v>0.24592774998850447</v>
      </c>
      <c r="G86" s="95">
        <v>53259970197</v>
      </c>
      <c r="H86" s="151">
        <v>50818758741</v>
      </c>
      <c r="I86" s="95">
        <v>360</v>
      </c>
      <c r="J86" s="106">
        <f>$J$4/(H86/G86)</f>
        <v>377.29353777881562</v>
      </c>
      <c r="K86" s="177">
        <f>T86</f>
        <v>46315786933</v>
      </c>
      <c r="L86" s="151">
        <v>18762929663</v>
      </c>
      <c r="M86" s="95">
        <v>70155464867</v>
      </c>
      <c r="N86" s="109">
        <f t="shared" si="6"/>
        <v>96.281233279337599</v>
      </c>
      <c r="O86" s="110">
        <f>(J86)/(I86/N86)</f>
        <v>100.90635312685755</v>
      </c>
      <c r="P86" s="111">
        <f t="shared" si="7"/>
        <v>372.66841793129566</v>
      </c>
      <c r="Q86" s="154">
        <v>100713499599</v>
      </c>
      <c r="R86" s="154">
        <v>78806886226</v>
      </c>
      <c r="S86" s="117">
        <f t="shared" si="8"/>
        <v>21906613373</v>
      </c>
      <c r="T86" s="154">
        <v>46315786933</v>
      </c>
      <c r="U86" s="154">
        <v>139279961392</v>
      </c>
      <c r="V86" s="200">
        <f t="shared" si="9"/>
        <v>0.33253733322516771</v>
      </c>
    </row>
    <row r="87" spans="2:22" ht="31.5">
      <c r="B87" s="204" t="s">
        <v>274</v>
      </c>
      <c r="C87" s="94">
        <v>167560982</v>
      </c>
      <c r="D87" s="94">
        <v>95870981</v>
      </c>
      <c r="E87" s="94">
        <v>625512290</v>
      </c>
      <c r="F87" s="106">
        <f t="shared" si="5"/>
        <v>0.114610059859895</v>
      </c>
      <c r="G87" s="94">
        <v>87363862</v>
      </c>
      <c r="H87" s="94">
        <v>239109136</v>
      </c>
      <c r="I87" s="95">
        <v>360</v>
      </c>
      <c r="J87" s="106">
        <f>$J$4/(H87/G87)</f>
        <v>131.53403858228151</v>
      </c>
      <c r="K87" s="177">
        <f>T87</f>
        <v>251563312</v>
      </c>
      <c r="L87" s="94">
        <f>18036+28186605</f>
        <v>28204641</v>
      </c>
      <c r="M87" s="94">
        <v>282042866</v>
      </c>
      <c r="N87" s="109">
        <f t="shared" si="6"/>
        <v>36.000452356770481</v>
      </c>
      <c r="O87" s="110">
        <f>(J87)/(I87/N87)</f>
        <v>13.153569136875099</v>
      </c>
      <c r="P87" s="111">
        <f t="shared" si="7"/>
        <v>154.38092180217689</v>
      </c>
      <c r="Q87" s="94">
        <v>457951308</v>
      </c>
      <c r="R87" s="94">
        <v>466815617</v>
      </c>
      <c r="S87" s="117">
        <f t="shared" si="8"/>
        <v>-8864309</v>
      </c>
      <c r="T87" s="94">
        <v>251563312</v>
      </c>
      <c r="U87" s="94">
        <v>373948978</v>
      </c>
      <c r="V87" s="200">
        <f t="shared" si="9"/>
        <v>0.6727209507175067</v>
      </c>
    </row>
    <row r="88" spans="2:22" ht="29.25" customHeight="1">
      <c r="B88" s="204" t="s">
        <v>275</v>
      </c>
      <c r="C88" s="94">
        <v>671452284</v>
      </c>
      <c r="D88" s="94">
        <v>518954801</v>
      </c>
      <c r="E88" s="94">
        <v>1206854400</v>
      </c>
      <c r="F88" s="106">
        <f t="shared" si="5"/>
        <v>0.12635947053762242</v>
      </c>
      <c r="G88" s="94">
        <v>225074574</v>
      </c>
      <c r="H88" s="94">
        <v>835213759</v>
      </c>
      <c r="I88" s="95">
        <v>360</v>
      </c>
      <c r="J88" s="106">
        <f>$J$4/(H88/G88)</f>
        <v>97.013304398880237</v>
      </c>
      <c r="K88" s="177">
        <f>T88</f>
        <v>624632294</v>
      </c>
      <c r="L88" s="94">
        <v>323849077</v>
      </c>
      <c r="M88" s="94">
        <v>1015868035</v>
      </c>
      <c r="N88" s="109">
        <f t="shared" si="6"/>
        <v>114.76457935798719</v>
      </c>
      <c r="O88" s="110">
        <f>(J88)/(I88/N88)</f>
        <v>30.926919642960719</v>
      </c>
      <c r="P88" s="111">
        <f t="shared" si="7"/>
        <v>180.85096411390671</v>
      </c>
      <c r="Q88" s="94">
        <v>535402116</v>
      </c>
      <c r="R88" s="94">
        <v>263567292</v>
      </c>
      <c r="S88" s="117">
        <f t="shared" si="8"/>
        <v>271834824</v>
      </c>
      <c r="T88" s="94">
        <v>624632294</v>
      </c>
      <c r="U88" s="94">
        <v>582222106</v>
      </c>
      <c r="V88" s="200">
        <f t="shared" si="9"/>
        <v>1.0728419404947842</v>
      </c>
    </row>
    <row r="89" spans="2:22" s="64" customFormat="1" ht="31.5">
      <c r="B89" s="204" t="s">
        <v>276</v>
      </c>
      <c r="C89" s="95">
        <v>566779211419</v>
      </c>
      <c r="D89" s="143">
        <v>564899086298</v>
      </c>
      <c r="E89" s="143">
        <v>1286827899805</v>
      </c>
      <c r="F89" s="106">
        <f t="shared" si="5"/>
        <v>1.4610540549244429E-3</v>
      </c>
      <c r="G89" s="143">
        <v>205840908489</v>
      </c>
      <c r="H89" s="146">
        <v>369974947495</v>
      </c>
      <c r="I89" s="95">
        <v>360</v>
      </c>
      <c r="J89" s="106">
        <f>$J$4/(H89/G89)</f>
        <v>200.29120230374909</v>
      </c>
      <c r="K89" s="177">
        <f>T89</f>
        <v>601006310349</v>
      </c>
      <c r="L89" s="95">
        <v>96765430412</v>
      </c>
      <c r="M89" s="95">
        <v>445664542004</v>
      </c>
      <c r="N89" s="109">
        <f t="shared" si="6"/>
        <v>78.165417404930864</v>
      </c>
      <c r="O89" s="110">
        <f>(J89)/(I89/N89)</f>
        <v>43.48845952946666</v>
      </c>
      <c r="P89" s="111">
        <f t="shared" si="7"/>
        <v>234.9681601792133</v>
      </c>
      <c r="Q89" s="143">
        <v>720048688386</v>
      </c>
      <c r="R89" s="143">
        <v>463774653341</v>
      </c>
      <c r="S89" s="117">
        <f t="shared" si="8"/>
        <v>256274035045</v>
      </c>
      <c r="T89" s="143">
        <v>601006310349</v>
      </c>
      <c r="U89" s="143">
        <v>685821589456</v>
      </c>
      <c r="V89" s="200">
        <f t="shared" si="9"/>
        <v>0.8763304036924876</v>
      </c>
    </row>
    <row r="90" spans="2:22" ht="31.5">
      <c r="B90" s="204" t="s">
        <v>277</v>
      </c>
      <c r="C90" s="94">
        <v>1133730</v>
      </c>
      <c r="D90" s="94">
        <v>5368</v>
      </c>
      <c r="E90" s="94">
        <v>1757634</v>
      </c>
      <c r="F90" s="106">
        <f t="shared" si="5"/>
        <v>0.64197779514961595</v>
      </c>
      <c r="G90" s="94">
        <v>432027</v>
      </c>
      <c r="H90" s="94">
        <v>1847700</v>
      </c>
      <c r="I90" s="95">
        <v>360</v>
      </c>
      <c r="J90" s="106">
        <f>$J$4/(H90/G90)</f>
        <v>84.174768631271306</v>
      </c>
      <c r="K90" s="177">
        <f>T90</f>
        <v>635514</v>
      </c>
      <c r="L90" s="94">
        <f>561344+12708</f>
        <v>574052</v>
      </c>
      <c r="M90" s="94">
        <v>2632860</v>
      </c>
      <c r="N90" s="109">
        <f t="shared" si="6"/>
        <v>78.492103643946123</v>
      </c>
      <c r="O90" s="110">
        <f>(J90)/(I90/N90)</f>
        <v>18.352929621141477</v>
      </c>
      <c r="P90" s="111">
        <f t="shared" si="7"/>
        <v>144.31394265407596</v>
      </c>
      <c r="Q90" s="94">
        <v>623904</v>
      </c>
      <c r="R90" s="94">
        <v>6098</v>
      </c>
      <c r="S90" s="117">
        <f t="shared" si="8"/>
        <v>617806</v>
      </c>
      <c r="T90" s="94">
        <v>635514</v>
      </c>
      <c r="U90" s="94">
        <v>1122120</v>
      </c>
      <c r="V90" s="200">
        <f t="shared" si="9"/>
        <v>0.56635119238584108</v>
      </c>
    </row>
    <row r="91" spans="2:22" ht="31.5">
      <c r="B91" s="203" t="s">
        <v>100</v>
      </c>
      <c r="C91" s="94"/>
      <c r="D91" s="94"/>
      <c r="E91" s="94"/>
      <c r="F91" s="106" t="e">
        <f t="shared" si="5"/>
        <v>#DIV/0!</v>
      </c>
      <c r="G91" s="94"/>
      <c r="H91" s="94"/>
      <c r="I91" s="94"/>
      <c r="J91" s="106" t="e">
        <f>$J$4/(H91/G91)</f>
        <v>#DIV/0!</v>
      </c>
      <c r="K91" s="177">
        <f>T91</f>
        <v>0</v>
      </c>
      <c r="L91" s="94"/>
      <c r="M91" s="94"/>
      <c r="N91" s="109" t="e">
        <f t="shared" si="6"/>
        <v>#DIV/0!</v>
      </c>
      <c r="O91" s="110" t="e">
        <f>(J91)/(I91/N91)</f>
        <v>#DIV/0!</v>
      </c>
      <c r="P91" s="111" t="e">
        <f t="shared" si="7"/>
        <v>#DIV/0!</v>
      </c>
      <c r="Q91" s="94"/>
      <c r="R91" s="94"/>
      <c r="S91" s="117">
        <f t="shared" si="8"/>
        <v>0</v>
      </c>
      <c r="T91" s="94"/>
      <c r="U91" s="94"/>
      <c r="V91" s="200" t="e">
        <f t="shared" si="9"/>
        <v>#DIV/0!</v>
      </c>
    </row>
    <row r="92" spans="2:22" ht="33" customHeight="1">
      <c r="B92" s="204" t="s">
        <v>278</v>
      </c>
      <c r="C92" s="94">
        <v>29249998</v>
      </c>
      <c r="D92" s="94">
        <v>72414830</v>
      </c>
      <c r="E92" s="94">
        <v>145830401</v>
      </c>
      <c r="F92" s="106">
        <f t="shared" si="5"/>
        <v>-0.29599337109413831</v>
      </c>
      <c r="G92" s="94">
        <v>20082430</v>
      </c>
      <c r="H92" s="94">
        <v>116473911</v>
      </c>
      <c r="I92" s="95">
        <v>360</v>
      </c>
      <c r="J92" s="106">
        <f>$J$4/(H92/G92)</f>
        <v>62.071194638600232</v>
      </c>
      <c r="K92" s="177">
        <f>T92</f>
        <v>166455283</v>
      </c>
      <c r="L92" s="94">
        <f>3368091+454094</f>
        <v>3822185</v>
      </c>
      <c r="M92" s="94">
        <v>104819253</v>
      </c>
      <c r="N92" s="109">
        <f t="shared" si="6"/>
        <v>13.127231502021866</v>
      </c>
      <c r="O92" s="110">
        <f>(J92)/(I92/N92)</f>
        <v>2.2633970600776769</v>
      </c>
      <c r="P92" s="111">
        <f t="shared" si="7"/>
        <v>72.935029080544425</v>
      </c>
      <c r="Q92" s="94">
        <v>116580403</v>
      </c>
      <c r="R92" s="94">
        <v>124874942</v>
      </c>
      <c r="S92" s="117">
        <f t="shared" si="8"/>
        <v>-8294539</v>
      </c>
      <c r="T92" s="94">
        <v>166455283</v>
      </c>
      <c r="U92" s="94">
        <v>-20624882</v>
      </c>
      <c r="V92" s="200">
        <f t="shared" si="9"/>
        <v>-8.0706053494027259</v>
      </c>
    </row>
    <row r="93" spans="2:22" ht="31.5">
      <c r="B93" s="204" t="s">
        <v>279</v>
      </c>
      <c r="C93" s="94">
        <v>177420399</v>
      </c>
      <c r="D93" s="94">
        <v>1126846196</v>
      </c>
      <c r="E93" s="94">
        <v>275371910</v>
      </c>
      <c r="F93" s="106">
        <f t="shared" si="5"/>
        <v>-3.4477946461569009</v>
      </c>
      <c r="G93" s="94">
        <v>75507062</v>
      </c>
      <c r="H93" s="94">
        <v>511808609</v>
      </c>
      <c r="I93" s="95">
        <v>360</v>
      </c>
      <c r="J93" s="106">
        <f>$J$4/(H93/G93)</f>
        <v>53.110756329618525</v>
      </c>
      <c r="K93" s="177">
        <f>T93</f>
        <v>1184395880</v>
      </c>
      <c r="L93" s="94">
        <f>41190159+21601483</f>
        <v>62791642</v>
      </c>
      <c r="M93" s="94">
        <v>493567021</v>
      </c>
      <c r="N93" s="109">
        <f t="shared" si="6"/>
        <v>45.799233251445301</v>
      </c>
      <c r="O93" s="110">
        <f>(J93)/(I93/N93)</f>
        <v>6.7567553258357602</v>
      </c>
      <c r="P93" s="111">
        <f t="shared" si="7"/>
        <v>92.153234255228071</v>
      </c>
      <c r="Q93" s="94">
        <v>97951511</v>
      </c>
      <c r="R93" s="94">
        <v>117868419</v>
      </c>
      <c r="S93" s="117">
        <f t="shared" si="8"/>
        <v>-19916908</v>
      </c>
      <c r="T93" s="94">
        <v>1184395880</v>
      </c>
      <c r="U93" s="94">
        <v>-90902397</v>
      </c>
      <c r="V93" s="200">
        <f t="shared" si="9"/>
        <v>-13.029314067482732</v>
      </c>
    </row>
    <row r="94" spans="2:22" s="66" customFormat="1" ht="31.5">
      <c r="B94" s="209" t="s">
        <v>280</v>
      </c>
      <c r="C94" s="186"/>
      <c r="D94" s="186"/>
      <c r="E94" s="186"/>
      <c r="F94" s="106" t="e">
        <f t="shared" si="5"/>
        <v>#DIV/0!</v>
      </c>
      <c r="G94" s="186"/>
      <c r="H94" s="186"/>
      <c r="I94" s="186"/>
      <c r="J94" s="106" t="e">
        <f>$J$4/(H94/G94)</f>
        <v>#DIV/0!</v>
      </c>
      <c r="K94" s="177">
        <f>T94</f>
        <v>0</v>
      </c>
      <c r="L94" s="186"/>
      <c r="M94" s="186"/>
      <c r="N94" s="109" t="e">
        <f t="shared" si="6"/>
        <v>#DIV/0!</v>
      </c>
      <c r="O94" s="110" t="e">
        <f>(J94)/(I94/N94)</f>
        <v>#DIV/0!</v>
      </c>
      <c r="P94" s="111" t="e">
        <f t="shared" si="7"/>
        <v>#DIV/0!</v>
      </c>
      <c r="Q94" s="186"/>
      <c r="R94" s="186"/>
      <c r="S94" s="117">
        <f t="shared" si="8"/>
        <v>0</v>
      </c>
      <c r="T94" s="186"/>
      <c r="U94" s="186"/>
      <c r="V94" s="200" t="e">
        <f t="shared" si="9"/>
        <v>#DIV/0!</v>
      </c>
    </row>
    <row r="95" spans="2:22" s="66" customFormat="1" ht="31.5">
      <c r="B95" s="209" t="s">
        <v>281</v>
      </c>
      <c r="C95" s="186"/>
      <c r="D95" s="186"/>
      <c r="E95" s="186"/>
      <c r="F95" s="106" t="e">
        <f t="shared" si="5"/>
        <v>#DIV/0!</v>
      </c>
      <c r="G95" s="186"/>
      <c r="H95" s="186"/>
      <c r="I95" s="186"/>
      <c r="J95" s="106" t="e">
        <f>$J$4/(H95/G95)</f>
        <v>#DIV/0!</v>
      </c>
      <c r="K95" s="177">
        <f>T95</f>
        <v>0</v>
      </c>
      <c r="L95" s="186"/>
      <c r="M95" s="186"/>
      <c r="N95" s="109" t="e">
        <f t="shared" si="6"/>
        <v>#DIV/0!</v>
      </c>
      <c r="O95" s="110" t="e">
        <f>(J95)/(I95/N95)</f>
        <v>#DIV/0!</v>
      </c>
      <c r="P95" s="111" t="e">
        <f t="shared" si="7"/>
        <v>#DIV/0!</v>
      </c>
      <c r="Q95" s="186"/>
      <c r="R95" s="186"/>
      <c r="S95" s="117">
        <f t="shared" si="8"/>
        <v>0</v>
      </c>
      <c r="T95" s="186"/>
      <c r="U95" s="186"/>
      <c r="V95" s="200" t="e">
        <f t="shared" si="9"/>
        <v>#DIV/0!</v>
      </c>
    </row>
    <row r="96" spans="2:22" ht="29.25" customHeight="1">
      <c r="B96" s="204" t="s">
        <v>282</v>
      </c>
      <c r="C96" s="94">
        <v>19764834</v>
      </c>
      <c r="D96" s="94">
        <v>19707005</v>
      </c>
      <c r="E96" s="94">
        <v>46600202</v>
      </c>
      <c r="F96" s="106">
        <f t="shared" si="5"/>
        <v>1.2409602859661424E-3</v>
      </c>
      <c r="G96" s="94">
        <v>11243124</v>
      </c>
      <c r="H96" s="94">
        <v>60141082</v>
      </c>
      <c r="I96" s="95">
        <v>360</v>
      </c>
      <c r="J96" s="106">
        <f>$J$4/(H96/G96)</f>
        <v>67.300495857390786</v>
      </c>
      <c r="K96" s="177">
        <f>T96</f>
        <v>34808645</v>
      </c>
      <c r="L96" s="94">
        <v>7886535</v>
      </c>
      <c r="M96" s="94">
        <v>54432884</v>
      </c>
      <c r="N96" s="109">
        <f t="shared" si="6"/>
        <v>52.158775934047512</v>
      </c>
      <c r="O96" s="110">
        <f>(J96)/(I96/N96)</f>
        <v>9.7508652324331635</v>
      </c>
      <c r="P96" s="111">
        <f t="shared" si="7"/>
        <v>109.70840655900514</v>
      </c>
      <c r="Q96" s="94">
        <v>26760706</v>
      </c>
      <c r="R96" s="94">
        <v>27565960</v>
      </c>
      <c r="S96" s="117">
        <f t="shared" si="8"/>
        <v>-805254</v>
      </c>
      <c r="T96" s="94">
        <v>34808645</v>
      </c>
      <c r="U96" s="94">
        <v>11791557</v>
      </c>
      <c r="V96" s="200">
        <f t="shared" si="9"/>
        <v>2.9519973486113837</v>
      </c>
    </row>
    <row r="97" spans="2:22" s="64" customFormat="1" ht="31.5">
      <c r="B97" s="204" t="s">
        <v>283</v>
      </c>
      <c r="C97" s="95">
        <v>32593816</v>
      </c>
      <c r="D97" s="95">
        <v>46119257</v>
      </c>
      <c r="E97" s="143">
        <v>69644499</v>
      </c>
      <c r="F97" s="106">
        <f t="shared" si="5"/>
        <v>-0.19420688201088215</v>
      </c>
      <c r="G97" s="95">
        <v>24420530</v>
      </c>
      <c r="H97" s="143">
        <v>50114505</v>
      </c>
      <c r="I97" s="95">
        <v>360</v>
      </c>
      <c r="J97" s="106">
        <f>$J$4/(H97/G97)</f>
        <v>175.4260727507934</v>
      </c>
      <c r="K97" s="177">
        <f>T97</f>
        <v>46135188</v>
      </c>
      <c r="L97" s="146">
        <v>5271348</v>
      </c>
      <c r="M97" s="95">
        <v>47215086</v>
      </c>
      <c r="N97" s="109">
        <f t="shared" si="6"/>
        <v>40.192350385637333</v>
      </c>
      <c r="O97" s="110">
        <f>(J97)/(I97/N97)</f>
        <v>19.585517174378317</v>
      </c>
      <c r="P97" s="111">
        <f t="shared" si="7"/>
        <v>196.03290596205241</v>
      </c>
      <c r="Q97" s="143">
        <v>37050683</v>
      </c>
      <c r="R97" s="143">
        <v>36216918</v>
      </c>
      <c r="S97" s="117">
        <f t="shared" si="8"/>
        <v>833765</v>
      </c>
      <c r="T97" s="143">
        <v>46135188</v>
      </c>
      <c r="U97" s="143">
        <v>23509311</v>
      </c>
      <c r="V97" s="200">
        <f t="shared" si="9"/>
        <v>1.9624219527318347</v>
      </c>
    </row>
    <row r="98" spans="2:22" ht="31.5">
      <c r="B98" s="204" t="s">
        <v>284</v>
      </c>
      <c r="C98" s="94">
        <v>308525436</v>
      </c>
      <c r="D98" s="94">
        <v>281571764</v>
      </c>
      <c r="E98" s="94">
        <v>779850123</v>
      </c>
      <c r="F98" s="106">
        <f t="shared" si="5"/>
        <v>3.4562630953127386E-2</v>
      </c>
      <c r="G98" s="94">
        <v>134401946</v>
      </c>
      <c r="H98" s="94">
        <v>696064185</v>
      </c>
      <c r="I98" s="95">
        <v>360</v>
      </c>
      <c r="J98" s="106">
        <f>$J$4/(H98/G98)</f>
        <v>69.511837561359386</v>
      </c>
      <c r="K98" s="177">
        <f>T98</f>
        <v>468077935</v>
      </c>
      <c r="L98" s="94">
        <f>3003468+72299936</f>
        <v>75303404</v>
      </c>
      <c r="M98" s="94">
        <v>769992311</v>
      </c>
      <c r="N98" s="109">
        <f t="shared" si="6"/>
        <v>35.207137854133713</v>
      </c>
      <c r="O98" s="110">
        <f>(J98)/(I98/N98)</f>
        <v>6.7980912431025828</v>
      </c>
      <c r="P98" s="111">
        <f t="shared" si="7"/>
        <v>97.920884172390515</v>
      </c>
      <c r="Q98" s="94">
        <v>471324687</v>
      </c>
      <c r="R98" s="94">
        <v>433143102</v>
      </c>
      <c r="S98" s="117">
        <f t="shared" si="8"/>
        <v>38181585</v>
      </c>
      <c r="T98" s="94">
        <v>468077935</v>
      </c>
      <c r="U98" s="94">
        <v>311772188</v>
      </c>
      <c r="V98" s="200">
        <f t="shared" si="9"/>
        <v>1.501346024488881</v>
      </c>
    </row>
    <row r="99" spans="2:22" ht="31.5">
      <c r="B99" s="204" t="s">
        <v>285</v>
      </c>
      <c r="C99" s="94">
        <v>87589595022</v>
      </c>
      <c r="D99" s="94">
        <v>194344206162</v>
      </c>
      <c r="E99" s="94">
        <v>440522832644</v>
      </c>
      <c r="F99" s="106">
        <f t="shared" si="5"/>
        <v>-0.24233615883032258</v>
      </c>
      <c r="G99" s="94">
        <v>46464388233</v>
      </c>
      <c r="H99" s="94">
        <v>65777549682</v>
      </c>
      <c r="I99" s="95">
        <v>360</v>
      </c>
      <c r="J99" s="106">
        <f>$J$4/(H99/G99)</f>
        <v>254.29922283130267</v>
      </c>
      <c r="K99" s="177">
        <f>T99</f>
        <v>198280335744</v>
      </c>
      <c r="L99" s="94">
        <v>20459843797</v>
      </c>
      <c r="M99" s="94">
        <v>102448044300</v>
      </c>
      <c r="N99" s="109">
        <f t="shared" si="6"/>
        <v>71.895406273948751</v>
      </c>
      <c r="O99" s="110">
        <f>(J99)/(I99/N99)</f>
        <v>50.785960946127581</v>
      </c>
      <c r="P99" s="111">
        <f t="shared" si="7"/>
        <v>275.40866815912381</v>
      </c>
      <c r="Q99" s="94">
        <v>352933237623</v>
      </c>
      <c r="R99" s="94">
        <v>372906298519</v>
      </c>
      <c r="S99" s="117">
        <f t="shared" si="8"/>
        <v>-19973060896</v>
      </c>
      <c r="T99" s="94">
        <v>198280335744</v>
      </c>
      <c r="U99" s="94">
        <v>242242496901</v>
      </c>
      <c r="V99" s="200">
        <f t="shared" si="9"/>
        <v>0.81852002964217085</v>
      </c>
    </row>
    <row r="100" spans="2:22" ht="35.25" customHeight="1">
      <c r="B100" s="204" t="s">
        <v>286</v>
      </c>
      <c r="C100" s="94">
        <v>284235425</v>
      </c>
      <c r="D100" s="94">
        <v>74373175</v>
      </c>
      <c r="E100" s="94">
        <v>367277907</v>
      </c>
      <c r="F100" s="106">
        <f t="shared" si="5"/>
        <v>0.57139905777125877</v>
      </c>
      <c r="G100" s="94">
        <v>67440255</v>
      </c>
      <c r="H100" s="94">
        <v>298971729</v>
      </c>
      <c r="I100" s="95">
        <v>360</v>
      </c>
      <c r="J100" s="106">
        <f>$J$4/(H100/G100)</f>
        <v>81.206647468664158</v>
      </c>
      <c r="K100" s="177">
        <f>T100</f>
        <v>165851644</v>
      </c>
      <c r="L100" s="94">
        <f>51836568+37508</f>
        <v>51874076</v>
      </c>
      <c r="M100" s="94">
        <v>338529242</v>
      </c>
      <c r="N100" s="109">
        <f t="shared" si="6"/>
        <v>55.164118909408721</v>
      </c>
      <c r="O100" s="110">
        <f>(J100)/(I100/N100)</f>
        <v>12.443592103321734</v>
      </c>
      <c r="P100" s="111">
        <f t="shared" si="7"/>
        <v>123.92717427475115</v>
      </c>
      <c r="Q100" s="94">
        <v>83042482</v>
      </c>
      <c r="R100" s="94">
        <v>63914812</v>
      </c>
      <c r="S100" s="117">
        <f t="shared" si="8"/>
        <v>19127670</v>
      </c>
      <c r="T100" s="94">
        <v>165851644</v>
      </c>
      <c r="U100" s="94">
        <v>201426263</v>
      </c>
      <c r="V100" s="200">
        <f t="shared" si="9"/>
        <v>0.82338639227000898</v>
      </c>
    </row>
    <row r="101" spans="2:22" s="64" customFormat="1" ht="31.5">
      <c r="B101" s="204" t="s">
        <v>287</v>
      </c>
      <c r="C101" s="95">
        <v>497447948</v>
      </c>
      <c r="D101" s="146">
        <v>510983514</v>
      </c>
      <c r="E101" s="146">
        <v>4224585356</v>
      </c>
      <c r="F101" s="106">
        <f t="shared" si="5"/>
        <v>-3.203998702683568E-3</v>
      </c>
      <c r="G101" s="143">
        <v>205112296</v>
      </c>
      <c r="H101" s="143">
        <v>1209987020</v>
      </c>
      <c r="I101" s="95">
        <v>360</v>
      </c>
      <c r="J101" s="106">
        <f>$J$4/(H101/G101)</f>
        <v>61.025800557761357</v>
      </c>
      <c r="K101" s="177">
        <f>T101</f>
        <v>3619720129</v>
      </c>
      <c r="L101" s="146">
        <v>116260772</v>
      </c>
      <c r="M101" s="95">
        <v>1647106585</v>
      </c>
      <c r="N101" s="109">
        <f t="shared" si="6"/>
        <v>25.410546166931873</v>
      </c>
      <c r="O101" s="110">
        <f>(J101)/(I101/N101)</f>
        <v>4.3074970067971439</v>
      </c>
      <c r="P101" s="111">
        <f t="shared" si="7"/>
        <v>82.128849717896088</v>
      </c>
      <c r="Q101" s="143">
        <v>3727137408</v>
      </c>
      <c r="R101" s="143">
        <v>1931041542</v>
      </c>
      <c r="S101" s="117">
        <f t="shared" si="8"/>
        <v>1796095866</v>
      </c>
      <c r="T101" s="143">
        <v>3619720129</v>
      </c>
      <c r="U101" s="143">
        <v>604865227</v>
      </c>
      <c r="V101" s="200">
        <f t="shared" si="9"/>
        <v>5.9843415812693097</v>
      </c>
    </row>
    <row r="102" spans="2:22" s="63" customFormat="1" ht="31.5">
      <c r="B102" s="213" t="s">
        <v>288</v>
      </c>
      <c r="C102" s="94">
        <v>845372465085</v>
      </c>
      <c r="D102" s="94">
        <v>636410615756</v>
      </c>
      <c r="E102" s="94">
        <v>1172012468004</v>
      </c>
      <c r="F102" s="106">
        <f t="shared" si="5"/>
        <v>0.17829319656033457</v>
      </c>
      <c r="G102" s="94">
        <v>443003004703</v>
      </c>
      <c r="H102" s="94">
        <v>943887339716</v>
      </c>
      <c r="I102" s="95">
        <v>360</v>
      </c>
      <c r="J102" s="106">
        <f>$J$4/(H102/G102)</f>
        <v>168.96198834605113</v>
      </c>
      <c r="K102" s="177">
        <f>T102</f>
        <v>781749249068</v>
      </c>
      <c r="L102" s="94">
        <v>248485303193</v>
      </c>
      <c r="M102" s="94">
        <v>1185443580242</v>
      </c>
      <c r="N102" s="109">
        <f t="shared" si="6"/>
        <v>75.460958784068367</v>
      </c>
      <c r="O102" s="110">
        <f>(J102)/(I102/N102)</f>
        <v>35.416760107376682</v>
      </c>
      <c r="P102" s="111">
        <f t="shared" si="7"/>
        <v>209.00618702274281</v>
      </c>
      <c r="Q102" s="94">
        <v>326640002219</v>
      </c>
      <c r="R102" s="94">
        <v>272289030095</v>
      </c>
      <c r="S102" s="117">
        <f t="shared" si="8"/>
        <v>54350972124</v>
      </c>
      <c r="T102" s="94">
        <v>781749249068</v>
      </c>
      <c r="U102" s="94">
        <v>390263218936</v>
      </c>
      <c r="V102" s="200">
        <f t="shared" si="9"/>
        <v>2.0031332985960959</v>
      </c>
    </row>
    <row r="103" spans="2:22" s="64" customFormat="1" ht="35.25" customHeight="1">
      <c r="B103" s="204" t="s">
        <v>289</v>
      </c>
      <c r="C103" s="95">
        <v>322091517</v>
      </c>
      <c r="D103" s="146">
        <v>60449971</v>
      </c>
      <c r="E103" s="95">
        <v>698865904</v>
      </c>
      <c r="F103" s="106">
        <f t="shared" si="5"/>
        <v>0.37438018438512921</v>
      </c>
      <c r="G103" s="143">
        <v>109569858</v>
      </c>
      <c r="H103" s="95">
        <v>432203710</v>
      </c>
      <c r="I103" s="95">
        <v>360</v>
      </c>
      <c r="J103" s="106">
        <f>$J$4/(H103/G103)</f>
        <v>91.265178820422435</v>
      </c>
      <c r="K103" s="177">
        <f>T103</f>
        <v>465849277</v>
      </c>
      <c r="L103" s="95">
        <f>97638418+31601261</f>
        <v>129239679</v>
      </c>
      <c r="M103" s="95">
        <v>589089425</v>
      </c>
      <c r="N103" s="109">
        <f t="shared" si="6"/>
        <v>78.980002806874353</v>
      </c>
      <c r="O103" s="110">
        <f>(J103)/(I103/N103)</f>
        <v>20.022566887241261</v>
      </c>
      <c r="P103" s="111">
        <f t="shared" si="7"/>
        <v>150.22261474005555</v>
      </c>
      <c r="Q103" s="143">
        <v>376774387</v>
      </c>
      <c r="R103" s="143">
        <v>266538151</v>
      </c>
      <c r="S103" s="117">
        <f t="shared" si="8"/>
        <v>110236236</v>
      </c>
      <c r="T103" s="143">
        <v>465849277</v>
      </c>
      <c r="U103" s="143">
        <v>233016627</v>
      </c>
      <c r="V103" s="200">
        <f t="shared" si="9"/>
        <v>1.9992104554839343</v>
      </c>
    </row>
    <row r="104" spans="2:22" ht="31.5">
      <c r="B104" s="204" t="s">
        <v>290</v>
      </c>
      <c r="C104" s="94">
        <v>457148015947</v>
      </c>
      <c r="D104" s="94">
        <v>262328823129</v>
      </c>
      <c r="E104" s="94">
        <v>775917827931</v>
      </c>
      <c r="F104" s="106">
        <f t="shared" si="5"/>
        <v>0.25108224840958893</v>
      </c>
      <c r="G104" s="94">
        <v>79238223389</v>
      </c>
      <c r="H104" s="94">
        <v>181895254417</v>
      </c>
      <c r="I104" s="95">
        <v>360</v>
      </c>
      <c r="J104" s="106">
        <f>$J$4/(H104/G104)</f>
        <v>156.82520421694943</v>
      </c>
      <c r="K104" s="177">
        <f>T104</f>
        <v>287001566564</v>
      </c>
      <c r="L104" s="94">
        <v>92919212334</v>
      </c>
      <c r="M104" s="94">
        <v>228622027943</v>
      </c>
      <c r="N104" s="109">
        <f t="shared" si="6"/>
        <v>146.31536926345512</v>
      </c>
      <c r="O104" s="110">
        <f>(J104)/(I104/N104)</f>
        <v>63.73871573561032</v>
      </c>
      <c r="P104" s="111">
        <f t="shared" si="7"/>
        <v>239.40185774479423</v>
      </c>
      <c r="Q104" s="94">
        <v>318769811984</v>
      </c>
      <c r="R104" s="94">
        <v>329692789876</v>
      </c>
      <c r="S104" s="117">
        <f t="shared" si="8"/>
        <v>-10922977892</v>
      </c>
      <c r="T104" s="94">
        <v>287001566564</v>
      </c>
      <c r="U104" s="94">
        <v>488916261367</v>
      </c>
      <c r="V104" s="200">
        <f t="shared" si="9"/>
        <v>0.58701579235992152</v>
      </c>
    </row>
    <row r="105" spans="2:22" ht="31.5">
      <c r="B105" s="204" t="s">
        <v>291</v>
      </c>
      <c r="C105" s="94">
        <v>398785346285</v>
      </c>
      <c r="D105" s="94">
        <v>332510082788</v>
      </c>
      <c r="E105" s="94">
        <v>773663346934</v>
      </c>
      <c r="F105" s="106">
        <f t="shared" si="5"/>
        <v>8.5664215268367677E-2</v>
      </c>
      <c r="G105" s="94">
        <v>349113710318</v>
      </c>
      <c r="H105" s="94">
        <v>516033321493</v>
      </c>
      <c r="I105" s="95">
        <v>360</v>
      </c>
      <c r="J105" s="106">
        <f>$J$4/(H105/G105)</f>
        <v>243.55197712980413</v>
      </c>
      <c r="K105" s="177">
        <f>T105</f>
        <v>515532106459</v>
      </c>
      <c r="L105" s="94">
        <v>47878615385</v>
      </c>
      <c r="M105" s="94">
        <v>519854661831</v>
      </c>
      <c r="N105" s="109">
        <f t="shared" si="6"/>
        <v>33.156000713528975</v>
      </c>
      <c r="O105" s="110">
        <f>(J105)/(I105/N105)</f>
        <v>22.431137576381051</v>
      </c>
      <c r="P105" s="111">
        <f t="shared" si="7"/>
        <v>254.27684026695204</v>
      </c>
      <c r="Q105" s="94">
        <v>374878000649</v>
      </c>
      <c r="R105" s="94">
        <v>386813080643</v>
      </c>
      <c r="S105" s="117">
        <f t="shared" si="8"/>
        <v>-11935079994</v>
      </c>
      <c r="T105" s="94">
        <v>515532106459</v>
      </c>
      <c r="U105" s="94">
        <v>258131240475</v>
      </c>
      <c r="V105" s="200">
        <f t="shared" si="9"/>
        <v>1.9971705304260887</v>
      </c>
    </row>
    <row r="106" spans="2:22" s="64" customFormat="1" ht="31.5">
      <c r="B106" s="204" t="s">
        <v>292</v>
      </c>
      <c r="C106" s="95">
        <v>87715665</v>
      </c>
      <c r="D106" s="143">
        <v>47564966</v>
      </c>
      <c r="E106" s="95">
        <v>340314626</v>
      </c>
      <c r="F106" s="106">
        <f t="shared" si="5"/>
        <v>0.11798111492275386</v>
      </c>
      <c r="G106" s="95">
        <v>43708344</v>
      </c>
      <c r="H106" s="143">
        <v>280981402</v>
      </c>
      <c r="I106" s="95">
        <v>360</v>
      </c>
      <c r="J106" s="106">
        <f>$J$4/(H106/G106)</f>
        <v>56.000161320285528</v>
      </c>
      <c r="K106" s="177">
        <f>T106</f>
        <v>53649427</v>
      </c>
      <c r="L106" s="146">
        <v>31355093</v>
      </c>
      <c r="M106" s="95">
        <v>281414730</v>
      </c>
      <c r="N106" s="109">
        <f t="shared" si="6"/>
        <v>40.11102574481442</v>
      </c>
      <c r="O106" s="110">
        <f>(J106)/(I106/N106)</f>
        <v>6.2395108678659268</v>
      </c>
      <c r="P106" s="111">
        <f t="shared" si="7"/>
        <v>89.871676197234024</v>
      </c>
      <c r="Q106" s="143">
        <v>252598961</v>
      </c>
      <c r="R106" s="143">
        <v>257876786</v>
      </c>
      <c r="S106" s="117">
        <f t="shared" si="8"/>
        <v>-5277825</v>
      </c>
      <c r="T106" s="143">
        <v>53649427</v>
      </c>
      <c r="U106" s="143">
        <v>286665199</v>
      </c>
      <c r="V106" s="200">
        <f t="shared" si="9"/>
        <v>0.18715012211859033</v>
      </c>
    </row>
    <row r="107" spans="2:22" ht="31.5">
      <c r="B107" s="204" t="s">
        <v>293</v>
      </c>
      <c r="C107" s="94">
        <v>387852596236</v>
      </c>
      <c r="D107" s="94">
        <v>191709343326</v>
      </c>
      <c r="E107" s="94">
        <v>521920090728</v>
      </c>
      <c r="F107" s="106">
        <f t="shared" si="5"/>
        <v>0.37581088828446835</v>
      </c>
      <c r="G107" s="94">
        <v>167719631272</v>
      </c>
      <c r="H107" s="94">
        <v>557964669059</v>
      </c>
      <c r="I107" s="95">
        <v>360</v>
      </c>
      <c r="J107" s="106">
        <f>$J$4/(H107/G107)</f>
        <v>108.21306546120293</v>
      </c>
      <c r="K107" s="177">
        <f>T107</f>
        <v>213369013290</v>
      </c>
      <c r="L107" s="94">
        <f>134041594829+1975934853</f>
        <v>136017529682</v>
      </c>
      <c r="M107" s="94">
        <v>746828922732</v>
      </c>
      <c r="N107" s="109">
        <f t="shared" si="6"/>
        <v>65.56563249638846</v>
      </c>
      <c r="O107" s="110">
        <f>(J107)/(I107/N107)</f>
        <v>19.708494670380162</v>
      </c>
      <c r="P107" s="111">
        <f t="shared" si="7"/>
        <v>154.07020328721123</v>
      </c>
      <c r="Q107" s="94">
        <v>134067494492</v>
      </c>
      <c r="R107" s="94">
        <v>105273265935</v>
      </c>
      <c r="S107" s="117">
        <f t="shared" si="8"/>
        <v>28794228557</v>
      </c>
      <c r="T107" s="94">
        <v>213369013290</v>
      </c>
      <c r="U107" s="94">
        <v>308551077438</v>
      </c>
      <c r="V107" s="200">
        <f t="shared" si="9"/>
        <v>0.69151926177562673</v>
      </c>
    </row>
    <row r="108" spans="2:22" ht="15.75">
      <c r="B108" s="203" t="s">
        <v>117</v>
      </c>
      <c r="C108" s="94"/>
      <c r="D108" s="94"/>
      <c r="E108" s="94"/>
      <c r="F108" s="106" t="e">
        <f t="shared" si="5"/>
        <v>#DIV/0!</v>
      </c>
      <c r="G108" s="94"/>
      <c r="H108" s="94"/>
      <c r="I108" s="94"/>
      <c r="J108" s="106" t="e">
        <f>$J$4/(H108/G108)</f>
        <v>#DIV/0!</v>
      </c>
      <c r="K108" s="177">
        <f>T108</f>
        <v>0</v>
      </c>
      <c r="L108" s="94"/>
      <c r="M108" s="94"/>
      <c r="N108" s="109" t="e">
        <f t="shared" si="6"/>
        <v>#DIV/0!</v>
      </c>
      <c r="O108" s="110" t="e">
        <f>(J108)/(I108/N108)</f>
        <v>#DIV/0!</v>
      </c>
      <c r="P108" s="111" t="e">
        <f t="shared" si="7"/>
        <v>#DIV/0!</v>
      </c>
      <c r="Q108" s="94"/>
      <c r="R108" s="94"/>
      <c r="S108" s="117">
        <f t="shared" si="8"/>
        <v>0</v>
      </c>
      <c r="T108" s="94"/>
      <c r="U108" s="94"/>
      <c r="V108" s="200" t="e">
        <f t="shared" si="9"/>
        <v>#DIV/0!</v>
      </c>
    </row>
    <row r="109" spans="2:22" ht="31.5">
      <c r="B109" s="204" t="s">
        <v>294</v>
      </c>
      <c r="C109" s="94">
        <v>86879500495</v>
      </c>
      <c r="D109" s="94">
        <v>94025048182</v>
      </c>
      <c r="E109" s="94">
        <v>104537589283</v>
      </c>
      <c r="F109" s="106">
        <f t="shared" si="5"/>
        <v>-6.8353859468251732E-2</v>
      </c>
      <c r="G109" s="94">
        <v>56268118693</v>
      </c>
      <c r="H109" s="94">
        <v>220004468931</v>
      </c>
      <c r="I109" s="95">
        <v>360</v>
      </c>
      <c r="J109" s="106">
        <f>$J$4/(H109/G109)</f>
        <v>92.073233002521661</v>
      </c>
      <c r="K109" s="177">
        <f>T109</f>
        <v>303910129000</v>
      </c>
      <c r="L109" s="94">
        <v>13956009069</v>
      </c>
      <c r="M109" s="94">
        <v>286688094220</v>
      </c>
      <c r="N109" s="109">
        <f t="shared" si="6"/>
        <v>17.524840989680357</v>
      </c>
      <c r="O109" s="110">
        <f>(J109)/(I109/N109)</f>
        <v>4.4821354660416155</v>
      </c>
      <c r="P109" s="111">
        <f t="shared" si="7"/>
        <v>105.11593852616041</v>
      </c>
      <c r="Q109" s="94">
        <v>17658088788</v>
      </c>
      <c r="R109" s="94">
        <v>20776773417</v>
      </c>
      <c r="S109" s="117">
        <f t="shared" si="8"/>
        <v>-3118684629</v>
      </c>
      <c r="T109" s="94">
        <v>303910129000</v>
      </c>
      <c r="U109" s="94">
        <v>-199372539717</v>
      </c>
      <c r="V109" s="200">
        <f t="shared" si="9"/>
        <v>-1.5243329368798042</v>
      </c>
    </row>
    <row r="110" spans="2:22" ht="33" customHeight="1">
      <c r="B110" s="204" t="s">
        <v>295</v>
      </c>
      <c r="C110" s="94">
        <v>490875888</v>
      </c>
      <c r="D110" s="94">
        <v>316233635</v>
      </c>
      <c r="E110" s="94">
        <v>774891087</v>
      </c>
      <c r="F110" s="106">
        <f t="shared" si="5"/>
        <v>0.22537651539667278</v>
      </c>
      <c r="G110" s="94">
        <v>314628156</v>
      </c>
      <c r="H110" s="94">
        <v>558227929</v>
      </c>
      <c r="I110" s="95">
        <v>360</v>
      </c>
      <c r="J110" s="106">
        <f>$J$4/(H110/G110)</f>
        <v>202.90302630128704</v>
      </c>
      <c r="K110" s="177">
        <f>T110</f>
        <v>349293491</v>
      </c>
      <c r="L110" s="94">
        <f>22014249+11609576</f>
        <v>33623825</v>
      </c>
      <c r="M110" s="94">
        <v>1008727515</v>
      </c>
      <c r="N110" s="109">
        <f t="shared" si="6"/>
        <v>11.999848145314049</v>
      </c>
      <c r="O110" s="110">
        <f>(J110)/(I110/N110)</f>
        <v>6.7633486217780749</v>
      </c>
      <c r="P110" s="111">
        <f t="shared" si="7"/>
        <v>208.13952582482301</v>
      </c>
      <c r="Q110" s="94">
        <v>284015199</v>
      </c>
      <c r="R110" s="94">
        <v>245106306</v>
      </c>
      <c r="S110" s="117">
        <f t="shared" si="8"/>
        <v>38908893</v>
      </c>
      <c r="T110" s="94">
        <v>349293491</v>
      </c>
      <c r="U110" s="94">
        <v>425597596</v>
      </c>
      <c r="V110" s="200">
        <f t="shared" si="9"/>
        <v>0.82071302630196252</v>
      </c>
    </row>
    <row r="111" spans="2:22" ht="15.75">
      <c r="B111" s="215" t="s">
        <v>120</v>
      </c>
      <c r="C111" s="94"/>
      <c r="D111" s="94"/>
      <c r="E111" s="94"/>
      <c r="F111" s="106" t="e">
        <f t="shared" si="5"/>
        <v>#DIV/0!</v>
      </c>
      <c r="G111" s="94"/>
      <c r="H111" s="94"/>
      <c r="I111" s="94"/>
      <c r="J111" s="106" t="e">
        <f>$J$4/(H111/G111)</f>
        <v>#DIV/0!</v>
      </c>
      <c r="K111" s="177">
        <f>T111</f>
        <v>0</v>
      </c>
      <c r="L111" s="94"/>
      <c r="M111" s="94"/>
      <c r="N111" s="109" t="e">
        <f t="shared" si="6"/>
        <v>#DIV/0!</v>
      </c>
      <c r="O111" s="110" t="e">
        <f>(J111)/(I111/N111)</f>
        <v>#DIV/0!</v>
      </c>
      <c r="P111" s="111" t="e">
        <f t="shared" si="7"/>
        <v>#DIV/0!</v>
      </c>
      <c r="Q111" s="94"/>
      <c r="R111" s="94"/>
      <c r="S111" s="117">
        <f t="shared" si="8"/>
        <v>0</v>
      </c>
      <c r="T111" s="94"/>
      <c r="U111" s="94"/>
      <c r="V111" s="200" t="e">
        <f t="shared" si="9"/>
        <v>#DIV/0!</v>
      </c>
    </row>
    <row r="112" spans="2:22" ht="31.5">
      <c r="B112" s="204" t="s">
        <v>296</v>
      </c>
      <c r="C112" s="94">
        <v>873185261</v>
      </c>
      <c r="D112" s="94">
        <v>846116408</v>
      </c>
      <c r="E112" s="94">
        <v>1064129232</v>
      </c>
      <c r="F112" s="106">
        <f t="shared" si="5"/>
        <v>2.5437561703971684E-2</v>
      </c>
      <c r="G112" s="94">
        <v>376648221</v>
      </c>
      <c r="H112" s="94">
        <v>1324529003</v>
      </c>
      <c r="I112" s="95">
        <v>360</v>
      </c>
      <c r="J112" s="106">
        <f>$J$4/(H112/G112)</f>
        <v>102.37100075037013</v>
      </c>
      <c r="K112" s="177">
        <f>T112</f>
        <v>897735513</v>
      </c>
      <c r="L112" s="94">
        <f>362015197+110871473</f>
        <v>472886670</v>
      </c>
      <c r="M112" s="94">
        <v>1493012114</v>
      </c>
      <c r="N112" s="109">
        <f t="shared" si="6"/>
        <v>114.02399190446221</v>
      </c>
      <c r="O112" s="110">
        <f>(J112)/(I112/N112)</f>
        <v>32.424306002255271</v>
      </c>
      <c r="P112" s="111">
        <f t="shared" si="7"/>
        <v>183.97068665257706</v>
      </c>
      <c r="Q112" s="94">
        <v>190943971</v>
      </c>
      <c r="R112" s="94">
        <v>210787742</v>
      </c>
      <c r="S112" s="117">
        <f t="shared" si="8"/>
        <v>-19843771</v>
      </c>
      <c r="T112" s="94">
        <v>897735513</v>
      </c>
      <c r="U112" s="94">
        <v>166393719</v>
      </c>
      <c r="V112" s="200">
        <f t="shared" si="9"/>
        <v>5.3952488014286164</v>
      </c>
    </row>
    <row r="113" spans="2:22" ht="31.5">
      <c r="B113" s="204" t="s">
        <v>297</v>
      </c>
      <c r="C113" s="94">
        <v>356301386185</v>
      </c>
      <c r="D113" s="94">
        <v>342253230813</v>
      </c>
      <c r="E113" s="94">
        <v>647249655440</v>
      </c>
      <c r="F113" s="106">
        <f t="shared" si="5"/>
        <v>2.1704384473484301E-2</v>
      </c>
      <c r="G113" s="94">
        <v>91036548405</v>
      </c>
      <c r="H113" s="94">
        <v>841195579256</v>
      </c>
      <c r="I113" s="95">
        <v>360</v>
      </c>
      <c r="J113" s="106">
        <f>$J$4/(H113/G113)</f>
        <v>38.960211197004149</v>
      </c>
      <c r="K113" s="177">
        <f>T113</f>
        <v>356961782297</v>
      </c>
      <c r="L113" s="94">
        <v>217551157518</v>
      </c>
      <c r="M113" s="94">
        <v>919537870594</v>
      </c>
      <c r="N113" s="109">
        <f t="shared" si="6"/>
        <v>85.171496695278179</v>
      </c>
      <c r="O113" s="110">
        <f>(J113)/(I113/N113)</f>
        <v>9.2174986089249398</v>
      </c>
      <c r="P113" s="111">
        <f t="shared" si="7"/>
        <v>114.91420928335738</v>
      </c>
      <c r="Q113" s="94">
        <v>290948269255</v>
      </c>
      <c r="R113" s="94">
        <v>301625310840</v>
      </c>
      <c r="S113" s="117">
        <f t="shared" si="8"/>
        <v>-10677041585</v>
      </c>
      <c r="T113" s="94">
        <v>356961782297</v>
      </c>
      <c r="U113" s="94">
        <v>290287873143</v>
      </c>
      <c r="V113" s="200">
        <f t="shared" si="9"/>
        <v>1.2296820340171615</v>
      </c>
    </row>
    <row r="114" spans="2:22" ht="31.5">
      <c r="B114" s="204" t="s">
        <v>298</v>
      </c>
      <c r="C114" s="94">
        <v>851745555700</v>
      </c>
      <c r="D114" s="94">
        <v>256060417655</v>
      </c>
      <c r="E114" s="94">
        <v>1340881252563</v>
      </c>
      <c r="F114" s="106">
        <f t="shared" si="5"/>
        <v>0.44424898693034143</v>
      </c>
      <c r="G114" s="94">
        <v>265488262441</v>
      </c>
      <c r="H114" s="94">
        <v>2172533911732</v>
      </c>
      <c r="I114" s="95">
        <v>360</v>
      </c>
      <c r="J114" s="106">
        <f>$J$4/(H114/G114)</f>
        <v>43.992765297074016</v>
      </c>
      <c r="K114" s="177">
        <f>T114</f>
        <v>414243649312</v>
      </c>
      <c r="L114" s="94">
        <v>466155532745</v>
      </c>
      <c r="M114" s="94">
        <v>2384078038239</v>
      </c>
      <c r="N114" s="109">
        <f t="shared" si="6"/>
        <v>70.390309837406718</v>
      </c>
      <c r="O114" s="110">
        <f>(J114)/(I114/N114)</f>
        <v>8.6018454996259823</v>
      </c>
      <c r="P114" s="111">
        <f t="shared" si="7"/>
        <v>105.78122963485475</v>
      </c>
      <c r="Q114" s="94">
        <v>489135696863</v>
      </c>
      <c r="R114" s="94">
        <v>428228298104</v>
      </c>
      <c r="S114" s="117">
        <f t="shared" si="8"/>
        <v>60907398759</v>
      </c>
      <c r="T114" s="94">
        <f>256060417655+158183231657</f>
        <v>414243649312</v>
      </c>
      <c r="U114" s="94">
        <v>926637603251</v>
      </c>
      <c r="V114" s="200">
        <f t="shared" si="9"/>
        <v>0.44703954151944025</v>
      </c>
    </row>
    <row r="115" spans="2:22" ht="31.5">
      <c r="B115" s="204" t="s">
        <v>299</v>
      </c>
      <c r="C115" s="94">
        <v>48800975</v>
      </c>
      <c r="D115" s="94">
        <v>8823879</v>
      </c>
      <c r="E115" s="94">
        <v>72066581</v>
      </c>
      <c r="F115" s="106">
        <f t="shared" si="5"/>
        <v>0.55472447069467612</v>
      </c>
      <c r="G115" s="94">
        <v>16890226</v>
      </c>
      <c r="H115" s="94">
        <v>132508252</v>
      </c>
      <c r="I115" s="95">
        <v>360</v>
      </c>
      <c r="J115" s="106">
        <f>$J$4/(H115/G115)</f>
        <v>45.887567515417835</v>
      </c>
      <c r="K115" s="177">
        <f>T115</f>
        <v>11923982</v>
      </c>
      <c r="L115" s="94">
        <f>11971620+10669576</f>
        <v>22641196</v>
      </c>
      <c r="M115" s="94">
        <v>139631224</v>
      </c>
      <c r="N115" s="109">
        <f t="shared" si="6"/>
        <v>58.373982025682167</v>
      </c>
      <c r="O115" s="110">
        <f>(J115)/(I115/N115)</f>
        <v>7.440666781520215</v>
      </c>
      <c r="P115" s="111">
        <f t="shared" si="7"/>
        <v>96.820882759579789</v>
      </c>
      <c r="Q115" s="94">
        <v>23265606</v>
      </c>
      <c r="R115" s="94">
        <v>18009229</v>
      </c>
      <c r="S115" s="117">
        <f t="shared" si="8"/>
        <v>5256377</v>
      </c>
      <c r="T115" s="94">
        <v>11923982</v>
      </c>
      <c r="U115" s="94">
        <v>60142599</v>
      </c>
      <c r="V115" s="200">
        <f t="shared" si="9"/>
        <v>0.1982618343447379</v>
      </c>
    </row>
    <row r="116" spans="2:22" ht="47.25">
      <c r="B116" s="204" t="s">
        <v>300</v>
      </c>
      <c r="C116" s="94">
        <v>1293776722303</v>
      </c>
      <c r="D116" s="94">
        <v>1043362648524</v>
      </c>
      <c r="E116" s="94">
        <v>1656007190010</v>
      </c>
      <c r="F116" s="106">
        <f t="shared" si="5"/>
        <v>0.15121557158063295</v>
      </c>
      <c r="G116" s="94">
        <v>274129087012</v>
      </c>
      <c r="H116" s="94">
        <v>3370802964521</v>
      </c>
      <c r="I116" s="95">
        <v>360</v>
      </c>
      <c r="J116" s="106">
        <f>$J$4/(H116/G116)</f>
        <v>29.276843637267778</v>
      </c>
      <c r="K116" s="177">
        <f>T116</f>
        <v>846052863354</v>
      </c>
      <c r="L116" s="94">
        <f>285215480411+554748376882</f>
        <v>839963857293</v>
      </c>
      <c r="M116" s="94">
        <v>3703267949291</v>
      </c>
      <c r="N116" s="109">
        <f t="shared" si="6"/>
        <v>81.654093834439593</v>
      </c>
      <c r="O116" s="110">
        <f>(J116)/(I116/N116)</f>
        <v>6.6404837153713299</v>
      </c>
      <c r="P116" s="111">
        <f t="shared" si="7"/>
        <v>104.29045375633603</v>
      </c>
      <c r="Q116" s="94">
        <v>362230467707</v>
      </c>
      <c r="R116" s="94">
        <v>307410277882</v>
      </c>
      <c r="S116" s="117">
        <f t="shared" si="8"/>
        <v>54820189825</v>
      </c>
      <c r="T116" s="94">
        <v>846052863354</v>
      </c>
      <c r="U116" s="94">
        <v>809954326656</v>
      </c>
      <c r="V116" s="200">
        <f t="shared" si="9"/>
        <v>1.0445686077720424</v>
      </c>
    </row>
    <row r="117" spans="2:22" ht="31.5">
      <c r="B117" s="204" t="s">
        <v>301</v>
      </c>
      <c r="C117" s="94">
        <v>1161045746008</v>
      </c>
      <c r="D117" s="94">
        <v>1002912808674</v>
      </c>
      <c r="E117" s="94">
        <v>1557960734712</v>
      </c>
      <c r="F117" s="106">
        <f t="shared" si="5"/>
        <v>0.10149995042284039</v>
      </c>
      <c r="G117" s="94">
        <v>437889107015</v>
      </c>
      <c r="H117" s="94">
        <v>1898380886031</v>
      </c>
      <c r="I117" s="95">
        <v>360</v>
      </c>
      <c r="J117" s="106">
        <f>$J$4/(H117/G117)</f>
        <v>83.039225523905642</v>
      </c>
      <c r="K117" s="177">
        <f>T117</f>
        <v>1054188282958</v>
      </c>
      <c r="L117" s="94">
        <f>538956141206+9093516</f>
        <v>538965234722</v>
      </c>
      <c r="M117" s="94">
        <v>2003353488967</v>
      </c>
      <c r="N117" s="109">
        <f t="shared" si="6"/>
        <v>96.85134728767585</v>
      </c>
      <c r="O117" s="110">
        <f>(J117)/(I117/N117)</f>
        <v>22.34016908254284</v>
      </c>
      <c r="P117" s="111">
        <f t="shared" si="7"/>
        <v>157.55040372903863</v>
      </c>
      <c r="Q117" s="94">
        <v>396914988704</v>
      </c>
      <c r="R117" s="94">
        <v>451212357660</v>
      </c>
      <c r="S117" s="117">
        <f t="shared" si="8"/>
        <v>-54297368956</v>
      </c>
      <c r="T117" s="94">
        <v>1054188282958</v>
      </c>
      <c r="U117" s="94">
        <v>503772451754</v>
      </c>
      <c r="V117" s="200">
        <f t="shared" si="9"/>
        <v>2.0925881899409156</v>
      </c>
    </row>
    <row r="118" spans="2:22" ht="15.75">
      <c r="B118" s="215" t="s">
        <v>127</v>
      </c>
      <c r="C118" s="94"/>
      <c r="D118" s="94"/>
      <c r="E118" s="94"/>
      <c r="F118" s="106" t="e">
        <f t="shared" si="5"/>
        <v>#DIV/0!</v>
      </c>
      <c r="G118" s="94"/>
      <c r="H118" s="94"/>
      <c r="I118" s="95">
        <v>360</v>
      </c>
      <c r="J118" s="106" t="e">
        <f>$J$4/(H118/G118)</f>
        <v>#DIV/0!</v>
      </c>
      <c r="K118" s="177">
        <f>T118</f>
        <v>0</v>
      </c>
      <c r="L118" s="94"/>
      <c r="M118" s="94"/>
      <c r="N118" s="109" t="e">
        <f t="shared" si="6"/>
        <v>#DIV/0!</v>
      </c>
      <c r="O118" s="110" t="e">
        <f>(J118)/(I118/N118)</f>
        <v>#DIV/0!</v>
      </c>
      <c r="P118" s="111" t="e">
        <f t="shared" si="7"/>
        <v>#DIV/0!</v>
      </c>
      <c r="Q118" s="94"/>
      <c r="R118" s="94"/>
      <c r="S118" s="117">
        <f t="shared" si="8"/>
        <v>0</v>
      </c>
      <c r="T118" s="94"/>
      <c r="U118" s="94"/>
      <c r="V118" s="200" t="e">
        <f t="shared" si="9"/>
        <v>#DIV/0!</v>
      </c>
    </row>
    <row r="119" spans="2:22" ht="31.5">
      <c r="B119" s="204" t="s">
        <v>302</v>
      </c>
      <c r="C119" s="94">
        <v>33464214</v>
      </c>
      <c r="D119" s="94">
        <v>12806413</v>
      </c>
      <c r="E119" s="94">
        <v>65392931</v>
      </c>
      <c r="F119" s="106">
        <f t="shared" si="5"/>
        <v>0.31590266232293518</v>
      </c>
      <c r="G119" s="94">
        <v>11705329</v>
      </c>
      <c r="H119" s="94">
        <v>110070691</v>
      </c>
      <c r="I119" s="95">
        <v>360</v>
      </c>
      <c r="J119" s="106">
        <f>$J$4/(H119/G119)</f>
        <v>38.283746578823603</v>
      </c>
      <c r="K119" s="177">
        <f>T119</f>
        <v>16815252</v>
      </c>
      <c r="L119" s="94">
        <v>8795897</v>
      </c>
      <c r="M119" s="94">
        <v>109961464</v>
      </c>
      <c r="N119" s="109">
        <f t="shared" si="6"/>
        <v>28.796660255450945</v>
      </c>
      <c r="O119" s="110">
        <f>(J119)/(I119/N119)</f>
        <v>3.0623445653782384</v>
      </c>
      <c r="P119" s="111">
        <f t="shared" si="7"/>
        <v>64.018062268896315</v>
      </c>
      <c r="Q119" s="94">
        <v>31928717</v>
      </c>
      <c r="R119" s="94">
        <v>37451063</v>
      </c>
      <c r="S119" s="117">
        <f t="shared" si="8"/>
        <v>-5522346</v>
      </c>
      <c r="T119" s="94">
        <v>16815252</v>
      </c>
      <c r="U119" s="94">
        <v>48577679</v>
      </c>
      <c r="V119" s="200">
        <f t="shared" si="9"/>
        <v>0.34615182005710893</v>
      </c>
    </row>
    <row r="120" spans="2:22" ht="15.75">
      <c r="B120" s="114"/>
      <c r="C120" s="94"/>
      <c r="D120" s="94"/>
      <c r="E120" s="94"/>
      <c r="F120" s="106" t="e">
        <f t="shared" si="5"/>
        <v>#DIV/0!</v>
      </c>
      <c r="G120" s="94"/>
      <c r="H120" s="94"/>
      <c r="I120" s="94"/>
      <c r="J120" s="106" t="e">
        <f>$J$4/(H120/G120)</f>
        <v>#DIV/0!</v>
      </c>
      <c r="K120" s="177">
        <f>T120</f>
        <v>0</v>
      </c>
      <c r="L120" s="94"/>
      <c r="M120" s="94"/>
      <c r="N120" s="109" t="e">
        <f t="shared" si="6"/>
        <v>#DIV/0!</v>
      </c>
      <c r="O120" s="110" t="e">
        <f>(J120)/(I120/N120)</f>
        <v>#DIV/0!</v>
      </c>
      <c r="P120" s="111" t="e">
        <f t="shared" si="7"/>
        <v>#DIV/0!</v>
      </c>
      <c r="Q120" s="94"/>
      <c r="R120" s="94"/>
      <c r="S120" s="117">
        <f t="shared" si="8"/>
        <v>0</v>
      </c>
      <c r="T120" s="94"/>
      <c r="U120" s="94"/>
      <c r="V120" s="200" t="e">
        <f t="shared" si="9"/>
        <v>#DIV/0!</v>
      </c>
    </row>
    <row r="121" spans="2:22" ht="15.75">
      <c r="B121" s="114"/>
      <c r="C121" s="94"/>
      <c r="D121" s="94"/>
      <c r="E121" s="94"/>
      <c r="F121" s="106" t="e">
        <f t="shared" si="5"/>
        <v>#DIV/0!</v>
      </c>
      <c r="G121" s="94"/>
      <c r="H121" s="94"/>
      <c r="I121" s="94"/>
      <c r="J121" s="106" t="e">
        <f>$J$4/(H121/G121)</f>
        <v>#DIV/0!</v>
      </c>
      <c r="K121" s="177">
        <f>T121</f>
        <v>0</v>
      </c>
      <c r="L121" s="94"/>
      <c r="M121" s="94"/>
      <c r="N121" s="109" t="e">
        <f t="shared" si="6"/>
        <v>#DIV/0!</v>
      </c>
      <c r="O121" s="110" t="e">
        <f>(J121)/(I121/N121)</f>
        <v>#DIV/0!</v>
      </c>
      <c r="P121" s="111" t="e">
        <f t="shared" si="7"/>
        <v>#DIV/0!</v>
      </c>
      <c r="Q121" s="94"/>
      <c r="R121" s="94"/>
      <c r="S121" s="117">
        <f t="shared" si="8"/>
        <v>0</v>
      </c>
      <c r="T121" s="94"/>
      <c r="U121" s="94"/>
      <c r="V121" s="200" t="e">
        <f t="shared" si="9"/>
        <v>#DIV/0!</v>
      </c>
    </row>
    <row r="122" spans="2:22" ht="47.25">
      <c r="B122" s="199" t="s">
        <v>129</v>
      </c>
      <c r="C122" s="94"/>
      <c r="D122" s="94"/>
      <c r="E122" s="94"/>
      <c r="F122" s="106" t="e">
        <f t="shared" si="5"/>
        <v>#DIV/0!</v>
      </c>
      <c r="G122" s="94"/>
      <c r="H122" s="94"/>
      <c r="I122" s="94"/>
      <c r="J122" s="106" t="e">
        <f>$J$4/(H122/G122)</f>
        <v>#DIV/0!</v>
      </c>
      <c r="K122" s="177">
        <f>T122</f>
        <v>0</v>
      </c>
      <c r="L122" s="94"/>
      <c r="M122" s="94"/>
      <c r="N122" s="109" t="e">
        <f t="shared" si="6"/>
        <v>#DIV/0!</v>
      </c>
      <c r="O122" s="110" t="e">
        <f>(J122)/(I122/N122)</f>
        <v>#DIV/0!</v>
      </c>
      <c r="P122" s="111" t="e">
        <f t="shared" si="7"/>
        <v>#DIV/0!</v>
      </c>
      <c r="Q122" s="94"/>
      <c r="R122" s="94"/>
      <c r="S122" s="117">
        <f t="shared" si="8"/>
        <v>0</v>
      </c>
      <c r="T122" s="94"/>
      <c r="U122" s="94"/>
      <c r="V122" s="200" t="e">
        <f t="shared" si="9"/>
        <v>#DIV/0!</v>
      </c>
    </row>
    <row r="123" spans="2:22" ht="31.5">
      <c r="B123" s="201" t="s">
        <v>130</v>
      </c>
      <c r="C123" s="94"/>
      <c r="D123" s="94"/>
      <c r="E123" s="94"/>
      <c r="F123" s="106" t="e">
        <f t="shared" si="5"/>
        <v>#DIV/0!</v>
      </c>
      <c r="G123" s="94"/>
      <c r="H123" s="94"/>
      <c r="I123" s="94"/>
      <c r="J123" s="106" t="e">
        <f>$J$4/(H123/G123)</f>
        <v>#DIV/0!</v>
      </c>
      <c r="K123" s="177">
        <f>T123</f>
        <v>0</v>
      </c>
      <c r="L123" s="94"/>
      <c r="M123" s="94"/>
      <c r="N123" s="109" t="e">
        <f t="shared" si="6"/>
        <v>#DIV/0!</v>
      </c>
      <c r="O123" s="110" t="e">
        <f>(J123)/(I123/N123)</f>
        <v>#DIV/0!</v>
      </c>
      <c r="P123" s="111" t="e">
        <f t="shared" si="7"/>
        <v>#DIV/0!</v>
      </c>
      <c r="Q123" s="94"/>
      <c r="R123" s="94"/>
      <c r="S123" s="117">
        <f t="shared" si="8"/>
        <v>0</v>
      </c>
      <c r="T123" s="94"/>
      <c r="U123" s="94"/>
      <c r="V123" s="200" t="e">
        <f t="shared" si="9"/>
        <v>#DIV/0!</v>
      </c>
    </row>
    <row r="124" spans="2:22" ht="37.5" customHeight="1">
      <c r="B124" s="204" t="s">
        <v>303</v>
      </c>
      <c r="C124" s="94">
        <v>858313129</v>
      </c>
      <c r="D124" s="94">
        <v>195089619</v>
      </c>
      <c r="E124" s="94">
        <v>997443167</v>
      </c>
      <c r="F124" s="106">
        <f t="shared" si="5"/>
        <v>0.66492360862501154</v>
      </c>
      <c r="G124" s="94">
        <v>197437057</v>
      </c>
      <c r="H124" s="94">
        <v>261747135</v>
      </c>
      <c r="I124" s="95">
        <v>360</v>
      </c>
      <c r="J124" s="106">
        <f>$J$4/(H124/G124)</f>
        <v>271.54964091584037</v>
      </c>
      <c r="K124" s="177">
        <f>T124</f>
        <v>237047063</v>
      </c>
      <c r="L124" s="94">
        <f>80577+214239417</f>
        <v>214319994</v>
      </c>
      <c r="M124" s="94">
        <v>2111639244</v>
      </c>
      <c r="N124" s="109">
        <f t="shared" si="6"/>
        <v>36.538058316177043</v>
      </c>
      <c r="O124" s="110">
        <f>(J124)/(I124/N124)</f>
        <v>27.560823931999749</v>
      </c>
      <c r="P124" s="111">
        <f t="shared" si="7"/>
        <v>280.52687530001765</v>
      </c>
      <c r="Q124" s="94">
        <v>139130038</v>
      </c>
      <c r="R124" s="94">
        <v>120083327</v>
      </c>
      <c r="S124" s="117">
        <f t="shared" si="8"/>
        <v>19046711</v>
      </c>
      <c r="T124" s="94">
        <v>237047063</v>
      </c>
      <c r="U124" s="94">
        <v>760396104</v>
      </c>
      <c r="V124" s="200">
        <f t="shared" si="9"/>
        <v>0.31174155384678298</v>
      </c>
    </row>
    <row r="125" spans="2:22" ht="47.25">
      <c r="B125" s="204" t="s">
        <v>304</v>
      </c>
      <c r="C125" s="94">
        <v>13621918</v>
      </c>
      <c r="D125" s="94">
        <v>6208146</v>
      </c>
      <c r="E125" s="94">
        <v>25029488</v>
      </c>
      <c r="F125" s="106">
        <f t="shared" si="5"/>
        <v>0.29620150440152831</v>
      </c>
      <c r="G125" s="94">
        <v>2813122</v>
      </c>
      <c r="H125" s="94">
        <v>21922158</v>
      </c>
      <c r="I125" s="95">
        <v>360</v>
      </c>
      <c r="J125" s="106">
        <f>$J$4/(H125/G125)</f>
        <v>46.196360777985454</v>
      </c>
      <c r="K125" s="177">
        <f>T125</f>
        <v>10445187</v>
      </c>
      <c r="L125" s="94">
        <f>991850+1718119</f>
        <v>2709969</v>
      </c>
      <c r="M125" s="94">
        <v>30022463</v>
      </c>
      <c r="N125" s="109">
        <f t="shared" si="6"/>
        <v>32.495296605078671</v>
      </c>
      <c r="O125" s="110">
        <f>(J125)/(I125/N125)</f>
        <v>4.169901237655167</v>
      </c>
      <c r="P125" s="111">
        <f t="shared" si="7"/>
        <v>74.521756145408958</v>
      </c>
      <c r="Q125" s="94">
        <v>11407570</v>
      </c>
      <c r="R125" s="94">
        <v>10088616</v>
      </c>
      <c r="S125" s="117">
        <f t="shared" si="8"/>
        <v>1318954</v>
      </c>
      <c r="T125" s="94">
        <v>10445187</v>
      </c>
      <c r="U125" s="94">
        <v>14584301</v>
      </c>
      <c r="V125" s="200">
        <f t="shared" si="9"/>
        <v>0.71619387175292115</v>
      </c>
    </row>
    <row r="126" spans="2:22" ht="31.5">
      <c r="B126" s="204" t="s">
        <v>305</v>
      </c>
      <c r="C126" s="94">
        <v>41014127</v>
      </c>
      <c r="D126" s="94">
        <v>22658835</v>
      </c>
      <c r="E126" s="94">
        <v>86077251</v>
      </c>
      <c r="F126" s="106">
        <f t="shared" si="5"/>
        <v>0.2132420794897365</v>
      </c>
      <c r="G126" s="94">
        <v>8446349</v>
      </c>
      <c r="H126" s="94">
        <v>46465617</v>
      </c>
      <c r="I126" s="95">
        <v>360</v>
      </c>
      <c r="J126" s="106">
        <f>$J$4/(H126/G126)</f>
        <v>65.439476247566034</v>
      </c>
      <c r="K126" s="177">
        <f>T126</f>
        <v>45803053</v>
      </c>
      <c r="L126" s="94">
        <f>3001157+553910</f>
        <v>3555067</v>
      </c>
      <c r="M126" s="94">
        <v>63594452</v>
      </c>
      <c r="N126" s="109">
        <f t="shared" si="6"/>
        <v>20.124776293378549</v>
      </c>
      <c r="O126" s="110">
        <f>(J126)/(I126/N126)</f>
        <v>3.6582078339947928</v>
      </c>
      <c r="P126" s="111">
        <f t="shared" si="7"/>
        <v>81.906044706949785</v>
      </c>
      <c r="Q126" s="94">
        <v>45063124</v>
      </c>
      <c r="R126" s="94">
        <v>45005845</v>
      </c>
      <c r="S126" s="117">
        <f t="shared" si="8"/>
        <v>57279</v>
      </c>
      <c r="T126" s="94">
        <v>45803053</v>
      </c>
      <c r="U126" s="94">
        <v>40274198</v>
      </c>
      <c r="V126" s="200">
        <f t="shared" si="9"/>
        <v>1.1372803252345336</v>
      </c>
    </row>
    <row r="127" spans="2:22" ht="31.5">
      <c r="B127" s="204" t="s">
        <v>306</v>
      </c>
      <c r="C127" s="94">
        <v>6508768623440</v>
      </c>
      <c r="D127" s="94">
        <v>6220960735713</v>
      </c>
      <c r="E127" s="94">
        <v>10297997020540</v>
      </c>
      <c r="F127" s="106">
        <f t="shared" si="5"/>
        <v>2.7947948242065826E-2</v>
      </c>
      <c r="G127" s="94">
        <v>1966800644217</v>
      </c>
      <c r="H127" s="94">
        <v>11633862469470</v>
      </c>
      <c r="I127" s="95">
        <v>360</v>
      </c>
      <c r="J127" s="106">
        <f>$J$4/(H127/G127)</f>
        <v>60.860976634046139</v>
      </c>
      <c r="K127" s="177">
        <f>T127</f>
        <v>6220960735713</v>
      </c>
      <c r="L127" s="94">
        <f>1950164516232+1096206874211</f>
        <v>3046371390443</v>
      </c>
      <c r="M127" s="94">
        <v>14169088278238</v>
      </c>
      <c r="N127" s="109">
        <f t="shared" si="6"/>
        <v>77.400442359009674</v>
      </c>
      <c r="O127" s="110">
        <f>(J127)/(I127/N127)</f>
        <v>13.085184760768119</v>
      </c>
      <c r="P127" s="111">
        <f t="shared" si="7"/>
        <v>125.17623423228771</v>
      </c>
      <c r="Q127" s="94">
        <v>3789228397100</v>
      </c>
      <c r="R127" s="94">
        <v>3282903493813</v>
      </c>
      <c r="S127" s="117">
        <f t="shared" si="8"/>
        <v>506324903287</v>
      </c>
      <c r="T127" s="94">
        <v>6220960735713</v>
      </c>
      <c r="U127" s="94">
        <v>4077036284827</v>
      </c>
      <c r="V127" s="200">
        <f t="shared" si="9"/>
        <v>1.5258536596460468</v>
      </c>
    </row>
    <row r="128" spans="2:22" ht="31.5">
      <c r="B128" s="204" t="s">
        <v>307</v>
      </c>
      <c r="C128" s="94">
        <v>816494</v>
      </c>
      <c r="D128" s="94">
        <v>1588801</v>
      </c>
      <c r="E128" s="94">
        <v>2231051</v>
      </c>
      <c r="F128" s="106">
        <f t="shared" si="5"/>
        <v>-0.34616286225639842</v>
      </c>
      <c r="G128" s="94">
        <v>226717</v>
      </c>
      <c r="H128" s="94">
        <v>1182579</v>
      </c>
      <c r="I128" s="95">
        <v>360</v>
      </c>
      <c r="J128" s="106">
        <f>$J$4/(H128/G128)</f>
        <v>69.017055097376158</v>
      </c>
      <c r="K128" s="177">
        <f>T128</f>
        <v>1677254</v>
      </c>
      <c r="L128" s="94">
        <f>381867+184</f>
        <v>382051</v>
      </c>
      <c r="M128" s="94">
        <v>2988501</v>
      </c>
      <c r="N128" s="109">
        <f t="shared" si="6"/>
        <v>46.022524335779039</v>
      </c>
      <c r="O128" s="110">
        <f>(J128)/(I128/N128)</f>
        <v>8.8231641605633246</v>
      </c>
      <c r="P128" s="111">
        <f t="shared" si="7"/>
        <v>106.21641527259187</v>
      </c>
      <c r="Q128" s="154">
        <v>1075896</v>
      </c>
      <c r="R128" s="94">
        <v>1414557</v>
      </c>
      <c r="S128" s="117">
        <f t="shared" si="8"/>
        <v>-338661</v>
      </c>
      <c r="T128" s="94">
        <v>1677254</v>
      </c>
      <c r="U128" s="94">
        <v>553797</v>
      </c>
      <c r="V128" s="200">
        <f t="shared" si="9"/>
        <v>3.0286440699389847</v>
      </c>
    </row>
    <row r="129" spans="2:22" ht="31.5">
      <c r="B129" s="204" t="s">
        <v>308</v>
      </c>
      <c r="C129" s="94">
        <v>420316388535</v>
      </c>
      <c r="D129" s="94">
        <v>307608669233</v>
      </c>
      <c r="E129" s="94">
        <v>2142894276216</v>
      </c>
      <c r="F129" s="106">
        <f t="shared" si="5"/>
        <v>5.2596024242980086E-2</v>
      </c>
      <c r="G129" s="94">
        <v>40795755774</v>
      </c>
      <c r="H129" s="94">
        <v>978841438517</v>
      </c>
      <c r="I129" s="95">
        <v>360</v>
      </c>
      <c r="J129" s="106">
        <f>$J$4/(H129/G129)</f>
        <v>15.003933733016895</v>
      </c>
      <c r="K129" s="177">
        <f>T129</f>
        <v>1189311196709</v>
      </c>
      <c r="L129" s="94">
        <f>111532931932+101773188855</f>
        <v>213306120787</v>
      </c>
      <c r="M129" s="94">
        <v>1880262901697</v>
      </c>
      <c r="N129" s="109">
        <f t="shared" si="6"/>
        <v>40.840141776989952</v>
      </c>
      <c r="O129" s="110">
        <f>(J129)/(I129/N129)</f>
        <v>1.7021188357471448</v>
      </c>
      <c r="P129" s="111">
        <f t="shared" si="7"/>
        <v>54.141956674259703</v>
      </c>
      <c r="Q129" s="94">
        <v>1722577887681</v>
      </c>
      <c r="R129" s="94">
        <v>1458808027191</v>
      </c>
      <c r="S129" s="117">
        <f t="shared" si="8"/>
        <v>263769860490</v>
      </c>
      <c r="T129" s="94">
        <v>1189311196709</v>
      </c>
      <c r="U129" s="94">
        <v>953583079507</v>
      </c>
      <c r="V129" s="200">
        <f t="shared" si="9"/>
        <v>1.247202495794987</v>
      </c>
    </row>
    <row r="130" spans="2:22" ht="31.5">
      <c r="B130" s="204" t="s">
        <v>309</v>
      </c>
      <c r="C130" s="94">
        <v>289764924677</v>
      </c>
      <c r="D130" s="94">
        <v>197955125393</v>
      </c>
      <c r="E130" s="94">
        <v>622508294824</v>
      </c>
      <c r="F130" s="106">
        <f t="shared" si="5"/>
        <v>0.14748365611731667</v>
      </c>
      <c r="G130" s="94">
        <v>159934594274</v>
      </c>
      <c r="H130" s="94">
        <v>876933770789</v>
      </c>
      <c r="I130" s="95">
        <v>360</v>
      </c>
      <c r="J130" s="106">
        <f>$J$4/(H130/G130)</f>
        <v>65.656559088649274</v>
      </c>
      <c r="K130" s="177">
        <f>T130</f>
        <v>250785019608</v>
      </c>
      <c r="L130" s="94">
        <f>82098740270+6028467540</f>
        <v>88127207810</v>
      </c>
      <c r="M130" s="94">
        <v>975081057089</v>
      </c>
      <c r="N130" s="109">
        <f t="shared" si="6"/>
        <v>32.536571786466617</v>
      </c>
      <c r="O130" s="110">
        <f>(J130)/(I130/N130)</f>
        <v>5.933998189000623</v>
      </c>
      <c r="P130" s="111">
        <f t="shared" si="7"/>
        <v>92.259132686115265</v>
      </c>
      <c r="Q130" s="94">
        <v>332743370147</v>
      </c>
      <c r="R130" s="94">
        <v>301318411074</v>
      </c>
      <c r="S130" s="117">
        <f t="shared" si="8"/>
        <v>31424959073</v>
      </c>
      <c r="T130" s="94">
        <v>250785019608</v>
      </c>
      <c r="U130" s="94">
        <v>371723275216</v>
      </c>
      <c r="V130" s="200">
        <f t="shared" si="9"/>
        <v>0.67465514356687639</v>
      </c>
    </row>
    <row r="131" spans="2:22" ht="34.5" customHeight="1">
      <c r="B131" s="204" t="s">
        <v>310</v>
      </c>
      <c r="C131" s="94">
        <v>379496707512</v>
      </c>
      <c r="D131" s="94">
        <v>256924179534</v>
      </c>
      <c r="E131" s="94">
        <v>652976510619</v>
      </c>
      <c r="F131" s="106">
        <f t="shared" si="5"/>
        <v>0.18771353331194918</v>
      </c>
      <c r="G131" s="94">
        <v>111766911295</v>
      </c>
      <c r="H131" s="94">
        <v>1291253009672</v>
      </c>
      <c r="I131" s="95">
        <v>360</v>
      </c>
      <c r="J131" s="106">
        <f>$J$4/(H131/G131)</f>
        <v>31.160498960943869</v>
      </c>
      <c r="K131" s="177">
        <f>T131</f>
        <v>345361448340</v>
      </c>
      <c r="L131" s="94">
        <f>3808474640+105318484636</f>
        <v>109126959276</v>
      </c>
      <c r="M131" s="94">
        <v>1480764903724</v>
      </c>
      <c r="N131" s="109">
        <f t="shared" si="6"/>
        <v>26.530683730117953</v>
      </c>
      <c r="O131" s="110">
        <f>(J131)/(I131/N131)</f>
        <v>2.2964148411263081</v>
      </c>
      <c r="P131" s="111">
        <f t="shared" si="7"/>
        <v>55.394767849935519</v>
      </c>
      <c r="Q131" s="94">
        <v>273479803107</v>
      </c>
      <c r="R131" s="94">
        <v>161528489840</v>
      </c>
      <c r="S131" s="117">
        <f t="shared" si="8"/>
        <v>111951313267</v>
      </c>
      <c r="T131" s="94">
        <v>345361448340</v>
      </c>
      <c r="U131" s="94">
        <v>307615062279</v>
      </c>
      <c r="V131" s="200">
        <f t="shared" si="9"/>
        <v>1.122706559884785</v>
      </c>
    </row>
    <row r="132" spans="2:22" ht="48.75" customHeight="1">
      <c r="B132" s="204" t="s">
        <v>311</v>
      </c>
      <c r="C132" s="151">
        <v>167419411740</v>
      </c>
      <c r="D132" s="151">
        <v>141425302224</v>
      </c>
      <c r="E132" s="151">
        <v>336932338819</v>
      </c>
      <c r="F132" s="106">
        <f t="shared" si="5"/>
        <v>7.7149345791838728E-2</v>
      </c>
      <c r="G132" s="151">
        <v>73181753579</v>
      </c>
      <c r="H132" s="151">
        <v>526791514853</v>
      </c>
      <c r="I132" s="95">
        <v>360</v>
      </c>
      <c r="J132" s="106">
        <f>$J$4/(H132/G132)</f>
        <v>50.01111548995172</v>
      </c>
      <c r="K132" s="177">
        <f>T132</f>
        <v>199636573747</v>
      </c>
      <c r="L132" s="94">
        <f>78801884710+1937639186</f>
        <v>80739523896</v>
      </c>
      <c r="M132" s="94">
        <v>681419524161</v>
      </c>
      <c r="N132" s="109">
        <f t="shared" si="6"/>
        <v>42.65540914511935</v>
      </c>
      <c r="O132" s="110">
        <f>(J132)/(I132/N132)</f>
        <v>5.9256794250769635</v>
      </c>
      <c r="P132" s="111">
        <f t="shared" si="7"/>
        <v>86.740845209994106</v>
      </c>
      <c r="Q132" s="151">
        <v>169512927079</v>
      </c>
      <c r="R132" s="151">
        <v>149693778397</v>
      </c>
      <c r="S132" s="117">
        <f t="shared" si="8"/>
        <v>19819148682</v>
      </c>
      <c r="T132" s="151">
        <v>199636573747</v>
      </c>
      <c r="U132" s="151">
        <v>137295765073</v>
      </c>
      <c r="V132" s="200">
        <f t="shared" si="9"/>
        <v>1.4540621383394707</v>
      </c>
    </row>
    <row r="133" spans="2:22" ht="31.5">
      <c r="B133" s="204" t="s">
        <v>312</v>
      </c>
      <c r="C133" s="151">
        <v>799430399430</v>
      </c>
      <c r="D133" s="151">
        <v>538631479995</v>
      </c>
      <c r="E133" s="151">
        <v>1700204093895</v>
      </c>
      <c r="F133" s="106">
        <f t="shared" si="5"/>
        <v>0.15339271348155348</v>
      </c>
      <c r="G133" s="151">
        <v>309595185554</v>
      </c>
      <c r="H133" s="151">
        <v>1763078470328</v>
      </c>
      <c r="I133" s="95">
        <v>360</v>
      </c>
      <c r="J133" s="106">
        <f>$J$4/(H133/G133)</f>
        <v>63.215715395075549</v>
      </c>
      <c r="K133" s="177">
        <f>T133</f>
        <v>884693224639</v>
      </c>
      <c r="L133" s="94">
        <f>108488354757+151038532580</f>
        <v>259526887337</v>
      </c>
      <c r="M133" s="94">
        <v>2170464194350</v>
      </c>
      <c r="N133" s="109">
        <f t="shared" si="6"/>
        <v>43.045943667041172</v>
      </c>
      <c r="O133" s="110">
        <f>(J133)/(I133/N133)</f>
        <v>7.558833677133693</v>
      </c>
      <c r="P133" s="111">
        <f t="shared" si="7"/>
        <v>98.702825384983029</v>
      </c>
      <c r="Q133" s="151">
        <v>900773694465</v>
      </c>
      <c r="R133" s="151">
        <v>785795599786</v>
      </c>
      <c r="S133" s="117">
        <f t="shared" si="8"/>
        <v>114978094679</v>
      </c>
      <c r="T133" s="151">
        <v>884693224639</v>
      </c>
      <c r="U133" s="151">
        <v>815510869260</v>
      </c>
      <c r="V133" s="200">
        <f t="shared" si="9"/>
        <v>1.0848331493628975</v>
      </c>
    </row>
    <row r="134" spans="2:22" ht="31.5">
      <c r="B134" s="204" t="s">
        <v>313</v>
      </c>
      <c r="C134" s="94">
        <v>3977086</v>
      </c>
      <c r="D134" s="94">
        <v>1493308</v>
      </c>
      <c r="E134" s="94">
        <v>7373868</v>
      </c>
      <c r="F134" s="106">
        <f t="shared" ref="F134:F162" si="10">(C134-D134)/E134</f>
        <v>0.33683515896948524</v>
      </c>
      <c r="G134" s="94">
        <v>1240358</v>
      </c>
      <c r="H134" s="94">
        <v>4099240</v>
      </c>
      <c r="I134" s="95">
        <v>360</v>
      </c>
      <c r="J134" s="106">
        <f>$J$4/(H134/G134)</f>
        <v>108.92967476898157</v>
      </c>
      <c r="K134" s="177">
        <f>T134</f>
        <v>3787932</v>
      </c>
      <c r="L134" s="94">
        <v>1344109</v>
      </c>
      <c r="M134" s="94">
        <v>5139974</v>
      </c>
      <c r="N134" s="109">
        <f t="shared" si="6"/>
        <v>94.140406157696518</v>
      </c>
      <c r="O134" s="110">
        <f>(J134)/(I134/N134)</f>
        <v>28.485232848271423</v>
      </c>
      <c r="P134" s="111">
        <f t="shared" si="7"/>
        <v>174.58484807840665</v>
      </c>
      <c r="Q134" s="94">
        <v>3396782</v>
      </c>
      <c r="R134" s="94">
        <v>2580274</v>
      </c>
      <c r="S134" s="117">
        <f t="shared" si="8"/>
        <v>816508</v>
      </c>
      <c r="T134" s="94">
        <v>3787932</v>
      </c>
      <c r="U134" s="94">
        <v>3585936</v>
      </c>
      <c r="V134" s="200">
        <f t="shared" si="9"/>
        <v>1.0563300627785883</v>
      </c>
    </row>
    <row r="135" spans="2:22" ht="31.5">
      <c r="B135" s="204" t="s">
        <v>314</v>
      </c>
      <c r="C135" s="94">
        <v>723258668478</v>
      </c>
      <c r="D135" s="94">
        <v>395208868117</v>
      </c>
      <c r="E135" s="94">
        <v>1236807511653</v>
      </c>
      <c r="F135" s="106">
        <f t="shared" si="10"/>
        <v>0.26523917203782149</v>
      </c>
      <c r="G135" s="94">
        <v>110303981853</v>
      </c>
      <c r="H135" s="94">
        <v>209569908889</v>
      </c>
      <c r="I135" s="95">
        <v>360</v>
      </c>
      <c r="J135" s="106">
        <f>$J$4/(H135/G135)</f>
        <v>189.48060662712959</v>
      </c>
      <c r="K135" s="177">
        <f>T135</f>
        <v>705671952606</v>
      </c>
      <c r="L135" s="94">
        <f>4974294143+68467325149</f>
        <v>73441619292</v>
      </c>
      <c r="M135" s="94">
        <v>332402373397</v>
      </c>
      <c r="N135" s="109">
        <f t="shared" ref="N135:N162" si="11">(I135)/(M135/L135)</f>
        <v>79.539091959319379</v>
      </c>
      <c r="O135" s="110">
        <f>(J135)/(I135/N135)</f>
        <v>41.864209430619113</v>
      </c>
      <c r="P135" s="111">
        <f t="shared" ref="P135:P162" si="12">J135+N135-O135</f>
        <v>227.15548915582986</v>
      </c>
      <c r="Q135" s="94">
        <v>442920891355</v>
      </c>
      <c r="R135" s="94">
        <v>442920891355</v>
      </c>
      <c r="S135" s="117">
        <f t="shared" ref="S135:S162" si="13">Q135-R135</f>
        <v>0</v>
      </c>
      <c r="T135" s="94">
        <v>705671952606</v>
      </c>
      <c r="U135" s="94">
        <v>531135559047</v>
      </c>
      <c r="V135" s="200">
        <f t="shared" ref="V135:V162" si="14">T135/U135</f>
        <v>1.3286098823286567</v>
      </c>
    </row>
    <row r="136" spans="2:22" ht="47.25">
      <c r="B136" s="204" t="s">
        <v>315</v>
      </c>
      <c r="C136" s="94">
        <v>1642101746819</v>
      </c>
      <c r="D136" s="94">
        <v>490967089226</v>
      </c>
      <c r="E136" s="94">
        <v>2918133278435</v>
      </c>
      <c r="F136" s="106">
        <f t="shared" si="10"/>
        <v>0.39447638190478934</v>
      </c>
      <c r="G136" s="94">
        <v>714411455060</v>
      </c>
      <c r="H136" s="94">
        <v>2979799459658</v>
      </c>
      <c r="I136" s="95">
        <v>360</v>
      </c>
      <c r="J136" s="106">
        <f>$J$4/(H136/G136)</f>
        <v>86.310547841739051</v>
      </c>
      <c r="K136" s="177">
        <f>T136</f>
        <v>789866406873</v>
      </c>
      <c r="L136" s="94">
        <v>395101722940</v>
      </c>
      <c r="M136" s="94">
        <v>3916789366423</v>
      </c>
      <c r="N136" s="109">
        <f t="shared" si="11"/>
        <v>36.314595182915674</v>
      </c>
      <c r="O136" s="110">
        <f>(J136)/(I136/N136)</f>
        <v>8.7064794580234164</v>
      </c>
      <c r="P136" s="111">
        <f t="shared" si="12"/>
        <v>113.91866356663132</v>
      </c>
      <c r="Q136" s="94">
        <v>1276031531616</v>
      </c>
      <c r="R136" s="94">
        <v>1246545441483</v>
      </c>
      <c r="S136" s="117">
        <f t="shared" si="13"/>
        <v>29486090133</v>
      </c>
      <c r="T136" s="94">
        <v>789866406873</v>
      </c>
      <c r="U136" s="94">
        <v>2273306156418</v>
      </c>
      <c r="V136" s="200">
        <f t="shared" si="14"/>
        <v>0.34745271975050457</v>
      </c>
    </row>
    <row r="137" spans="2:22" ht="31.5">
      <c r="B137" s="204" t="s">
        <v>316</v>
      </c>
      <c r="C137" s="94">
        <v>1053321371198</v>
      </c>
      <c r="D137" s="94">
        <v>718681070349</v>
      </c>
      <c r="E137" s="94">
        <v>1284150037341</v>
      </c>
      <c r="F137" s="106">
        <f t="shared" si="10"/>
        <v>0.26059283659868621</v>
      </c>
      <c r="G137" s="94">
        <v>475991159222</v>
      </c>
      <c r="H137" s="94">
        <v>3478089661187</v>
      </c>
      <c r="I137" s="95">
        <v>360</v>
      </c>
      <c r="J137" s="106">
        <f>$J$4/(H137/G137)</f>
        <v>49.267510044993912</v>
      </c>
      <c r="K137" s="177">
        <f>T137</f>
        <v>746598865219</v>
      </c>
      <c r="L137" s="94">
        <f>116929790792+198120534425</f>
        <v>315050325217</v>
      </c>
      <c r="M137" s="94">
        <v>3701868790192</v>
      </c>
      <c r="N137" s="109">
        <f t="shared" si="11"/>
        <v>30.638070527680018</v>
      </c>
      <c r="O137" s="110">
        <f>(J137)/(I137/N137)</f>
        <v>4.1929484652269648</v>
      </c>
      <c r="P137" s="111">
        <f t="shared" si="12"/>
        <v>75.712632107446964</v>
      </c>
      <c r="Q137" s="94">
        <v>230828666143</v>
      </c>
      <c r="R137" s="154">
        <v>222581525131</v>
      </c>
      <c r="S137" s="117">
        <f t="shared" si="13"/>
        <v>8247141012</v>
      </c>
      <c r="T137" s="94">
        <v>746598865219</v>
      </c>
      <c r="U137" s="94">
        <v>537551172122</v>
      </c>
      <c r="V137" s="200">
        <f t="shared" si="14"/>
        <v>1.3888889168853966</v>
      </c>
    </row>
    <row r="138" spans="2:22" ht="31.5">
      <c r="B138" s="212" t="s">
        <v>145</v>
      </c>
      <c r="C138" s="94"/>
      <c r="D138" s="94"/>
      <c r="E138" s="94"/>
      <c r="F138" s="106" t="e">
        <f t="shared" si="10"/>
        <v>#DIV/0!</v>
      </c>
      <c r="G138" s="94"/>
      <c r="H138" s="94"/>
      <c r="I138" s="95">
        <v>360</v>
      </c>
      <c r="J138" s="106" t="e">
        <f>$J$4/(H138/G138)</f>
        <v>#DIV/0!</v>
      </c>
      <c r="K138" s="177">
        <f>T138</f>
        <v>0</v>
      </c>
      <c r="L138" s="94"/>
      <c r="M138" s="94"/>
      <c r="N138" s="109" t="e">
        <f t="shared" si="11"/>
        <v>#DIV/0!</v>
      </c>
      <c r="O138" s="110" t="e">
        <f>(J138)/(I138/N138)</f>
        <v>#DIV/0!</v>
      </c>
      <c r="P138" s="111" t="e">
        <f t="shared" si="12"/>
        <v>#DIV/0!</v>
      </c>
      <c r="Q138" s="94"/>
      <c r="R138" s="94"/>
      <c r="S138" s="117">
        <f t="shared" si="13"/>
        <v>0</v>
      </c>
      <c r="T138" s="94"/>
      <c r="U138" s="94"/>
      <c r="V138" s="200" t="e">
        <f t="shared" si="14"/>
        <v>#DIV/0!</v>
      </c>
    </row>
    <row r="139" spans="2:22" ht="41.25" customHeight="1">
      <c r="B139" s="204" t="s">
        <v>317</v>
      </c>
      <c r="C139" s="94">
        <v>6553044</v>
      </c>
      <c r="D139" s="94">
        <v>6404484</v>
      </c>
      <c r="E139" s="94">
        <v>10821467</v>
      </c>
      <c r="F139" s="106">
        <f t="shared" si="10"/>
        <v>1.3728268080473748E-2</v>
      </c>
      <c r="G139" s="94">
        <v>5096435</v>
      </c>
      <c r="H139" s="94">
        <v>12863580</v>
      </c>
      <c r="I139" s="95">
        <v>360</v>
      </c>
      <c r="J139" s="106">
        <f>$J$4/(H139/G139)</f>
        <v>142.62877052888854</v>
      </c>
      <c r="K139" s="177">
        <f>T139</f>
        <v>12102506</v>
      </c>
      <c r="L139" s="94">
        <f>19617+712176</f>
        <v>731793</v>
      </c>
      <c r="M139" s="94">
        <v>14489473</v>
      </c>
      <c r="N139" s="109">
        <f t="shared" si="11"/>
        <v>18.181853818976027</v>
      </c>
      <c r="O139" s="110">
        <f>(J139)/(I139/N139)</f>
        <v>7.2034873781570203</v>
      </c>
      <c r="P139" s="111">
        <f t="shared" si="12"/>
        <v>153.60713696970757</v>
      </c>
      <c r="Q139" s="94">
        <v>4268423</v>
      </c>
      <c r="R139" s="94">
        <v>3758012</v>
      </c>
      <c r="S139" s="117">
        <f t="shared" si="13"/>
        <v>510411</v>
      </c>
      <c r="T139" s="94">
        <f>6404484+5698022</f>
        <v>12102506</v>
      </c>
      <c r="U139" s="94">
        <f>-1281039</f>
        <v>-1281039</v>
      </c>
      <c r="V139" s="200">
        <f t="shared" si="14"/>
        <v>-9.4474141692797797</v>
      </c>
    </row>
    <row r="140" spans="2:22" ht="62.25" customHeight="1">
      <c r="B140" s="204" t="s">
        <v>318</v>
      </c>
      <c r="C140" s="94">
        <v>38532600</v>
      </c>
      <c r="D140" s="94">
        <v>23783134</v>
      </c>
      <c r="E140" s="94">
        <v>58234278</v>
      </c>
      <c r="F140" s="106">
        <f t="shared" si="10"/>
        <v>0.25327807790456336</v>
      </c>
      <c r="G140" s="94">
        <v>34739327</v>
      </c>
      <c r="H140" s="94">
        <v>51806284</v>
      </c>
      <c r="I140" s="95">
        <v>360</v>
      </c>
      <c r="J140" s="106">
        <f>$J$4/(H140/G140)</f>
        <v>241.40233103767875</v>
      </c>
      <c r="K140" s="177">
        <f>T140</f>
        <v>25099875</v>
      </c>
      <c r="L140" s="94">
        <v>1532275</v>
      </c>
      <c r="M140" s="94">
        <v>65185850</v>
      </c>
      <c r="N140" s="109">
        <f t="shared" si="11"/>
        <v>8.4622506264779851</v>
      </c>
      <c r="O140" s="110">
        <f>(J140)/(I140/N140)</f>
        <v>5.6744639640467867</v>
      </c>
      <c r="P140" s="111">
        <f t="shared" si="12"/>
        <v>244.19011770010994</v>
      </c>
      <c r="Q140" s="94">
        <v>19701678</v>
      </c>
      <c r="R140" s="94">
        <v>16167189</v>
      </c>
      <c r="S140" s="117">
        <f t="shared" si="13"/>
        <v>3534489</v>
      </c>
      <c r="T140" s="94">
        <v>25099875</v>
      </c>
      <c r="U140" s="94">
        <v>33134403</v>
      </c>
      <c r="V140" s="200">
        <f t="shared" si="14"/>
        <v>0.75751704353930871</v>
      </c>
    </row>
    <row r="141" spans="2:22" ht="48.75" customHeight="1">
      <c r="B141" s="204" t="s">
        <v>319</v>
      </c>
      <c r="C141" s="94">
        <v>20777514</v>
      </c>
      <c r="D141" s="94">
        <v>13600230</v>
      </c>
      <c r="E141" s="94">
        <v>28380630</v>
      </c>
      <c r="F141" s="106">
        <f t="shared" si="10"/>
        <v>0.25289375183003338</v>
      </c>
      <c r="G141" s="94">
        <v>17431586</v>
      </c>
      <c r="H141" s="94">
        <v>60190077</v>
      </c>
      <c r="I141" s="95">
        <v>360</v>
      </c>
      <c r="J141" s="106">
        <f>$J$4/(H141/G141)</f>
        <v>104.25922797872479</v>
      </c>
      <c r="K141" s="177">
        <f>T141</f>
        <v>14882516</v>
      </c>
      <c r="L141" s="94">
        <f>855768+153877</f>
        <v>1009645</v>
      </c>
      <c r="M141" s="94">
        <v>80690139</v>
      </c>
      <c r="N141" s="109">
        <f t="shared" si="11"/>
        <v>4.5045429900672245</v>
      </c>
      <c r="O141" s="110">
        <f>(J141)/(I141/N141)</f>
        <v>1.3045560403927374</v>
      </c>
      <c r="P141" s="111">
        <f t="shared" si="12"/>
        <v>107.45921492839928</v>
      </c>
      <c r="Q141" s="94">
        <v>7603116</v>
      </c>
      <c r="R141" s="94">
        <v>4709000</v>
      </c>
      <c r="S141" s="117">
        <f t="shared" si="13"/>
        <v>2894116</v>
      </c>
      <c r="T141" s="94">
        <v>14882516</v>
      </c>
      <c r="U141" s="94">
        <v>13498114</v>
      </c>
      <c r="V141" s="200">
        <f t="shared" si="14"/>
        <v>1.102562624674825</v>
      </c>
    </row>
    <row r="142" spans="2:22" ht="31.5">
      <c r="B142" s="204" t="s">
        <v>320</v>
      </c>
      <c r="C142" s="94">
        <v>999717333649</v>
      </c>
      <c r="D142" s="94">
        <v>439445908771</v>
      </c>
      <c r="E142" s="94">
        <v>1334544790387</v>
      </c>
      <c r="F142" s="106">
        <f t="shared" si="10"/>
        <v>0.41982212130589402</v>
      </c>
      <c r="G142" s="94">
        <v>753511490458</v>
      </c>
      <c r="H142" s="94">
        <v>1177718564881</v>
      </c>
      <c r="I142" s="95">
        <v>360</v>
      </c>
      <c r="J142" s="106">
        <f>$J$4/(H142/G142)</f>
        <v>230.33018639074376</v>
      </c>
      <c r="K142" s="177">
        <f>T142</f>
        <v>488154387359</v>
      </c>
      <c r="L142" s="94">
        <v>72063454460</v>
      </c>
      <c r="M142" s="94">
        <v>1661533200316</v>
      </c>
      <c r="N142" s="109">
        <f t="shared" si="11"/>
        <v>15.613797907057194</v>
      </c>
      <c r="O142" s="110">
        <f>(J142)/(I142/N142)</f>
        <v>9.9898027283330233</v>
      </c>
      <c r="P142" s="111">
        <f t="shared" si="12"/>
        <v>235.95418156946795</v>
      </c>
      <c r="Q142" s="94">
        <v>334827456738</v>
      </c>
      <c r="R142" s="94">
        <v>239044476093</v>
      </c>
      <c r="S142" s="117">
        <f t="shared" si="13"/>
        <v>95782980645</v>
      </c>
      <c r="T142" s="94">
        <v>488154387359</v>
      </c>
      <c r="U142" s="94">
        <v>846390403028</v>
      </c>
      <c r="V142" s="200">
        <f t="shared" si="14"/>
        <v>0.57674849054597688</v>
      </c>
    </row>
    <row r="143" spans="2:22" ht="31.5">
      <c r="B143" s="212" t="s">
        <v>150</v>
      </c>
      <c r="C143" s="94"/>
      <c r="D143" s="94"/>
      <c r="E143" s="94"/>
      <c r="F143" s="106" t="e">
        <f t="shared" si="10"/>
        <v>#DIV/0!</v>
      </c>
      <c r="G143" s="94"/>
      <c r="H143" s="94"/>
      <c r="I143" s="94"/>
      <c r="J143" s="106" t="e">
        <f>$J$4/(H143/G143)</f>
        <v>#DIV/0!</v>
      </c>
      <c r="K143" s="177">
        <f>T143</f>
        <v>0</v>
      </c>
      <c r="L143" s="94"/>
      <c r="M143" s="94"/>
      <c r="N143" s="109" t="e">
        <f t="shared" si="11"/>
        <v>#DIV/0!</v>
      </c>
      <c r="O143" s="110" t="e">
        <f>(J143)/(I143/N143)</f>
        <v>#DIV/0!</v>
      </c>
      <c r="P143" s="111" t="e">
        <f t="shared" si="12"/>
        <v>#DIV/0!</v>
      </c>
      <c r="Q143" s="94"/>
      <c r="R143" s="94"/>
      <c r="S143" s="117">
        <f t="shared" si="13"/>
        <v>0</v>
      </c>
      <c r="T143" s="94"/>
      <c r="U143" s="94"/>
      <c r="V143" s="200" t="e">
        <f t="shared" si="14"/>
        <v>#DIV/0!</v>
      </c>
    </row>
    <row r="144" spans="2:22" ht="31.5">
      <c r="B144" s="204" t="s">
        <v>321</v>
      </c>
      <c r="C144" s="94">
        <v>925293721</v>
      </c>
      <c r="D144" s="94">
        <v>188297347</v>
      </c>
      <c r="E144" s="94">
        <v>1241239780</v>
      </c>
      <c r="F144" s="106">
        <f t="shared" si="10"/>
        <v>0.59375826159873801</v>
      </c>
      <c r="G144" s="94">
        <v>227049816</v>
      </c>
      <c r="H144" s="94">
        <v>518192211</v>
      </c>
      <c r="I144" s="95">
        <v>360</v>
      </c>
      <c r="J144" s="106">
        <f>$J$4/(H144/G144)</f>
        <v>157.73670855118277</v>
      </c>
      <c r="K144" s="177">
        <f>T144</f>
        <v>293785055</v>
      </c>
      <c r="L144" s="94">
        <f>304457503+46815319</f>
        <v>351272822</v>
      </c>
      <c r="M144" s="94">
        <v>1103821775</v>
      </c>
      <c r="N144" s="109">
        <f t="shared" si="11"/>
        <v>114.5639801497846</v>
      </c>
      <c r="O144" s="110">
        <f>(J144)/(I144/N144)</f>
        <v>50.197069853750172</v>
      </c>
      <c r="P144" s="111">
        <f t="shared" si="12"/>
        <v>222.10361884721721</v>
      </c>
      <c r="Q144" s="94">
        <v>315946059</v>
      </c>
      <c r="R144" s="94">
        <v>281122710</v>
      </c>
      <c r="S144" s="117">
        <f t="shared" si="13"/>
        <v>34823349</v>
      </c>
      <c r="T144" s="94">
        <v>293785055</v>
      </c>
      <c r="U144" s="94">
        <v>947454725</v>
      </c>
      <c r="V144" s="200">
        <f t="shared" si="14"/>
        <v>0.31007819925115682</v>
      </c>
    </row>
    <row r="145" spans="2:22" s="64" customFormat="1" ht="31.5">
      <c r="B145" s="204" t="s">
        <v>322</v>
      </c>
      <c r="C145" s="95" t="s">
        <v>323</v>
      </c>
      <c r="D145" s="143">
        <v>600565598576</v>
      </c>
      <c r="E145" s="95">
        <v>1249763660131</v>
      </c>
      <c r="F145" s="106" t="e">
        <f t="shared" si="10"/>
        <v>#VALUE!</v>
      </c>
      <c r="G145" s="143">
        <v>216406886501</v>
      </c>
      <c r="H145" s="143">
        <v>1069010401518</v>
      </c>
      <c r="I145" s="95">
        <v>360</v>
      </c>
      <c r="J145" s="106">
        <f>$J$4/(H145/G145)</f>
        <v>72.877194674375872</v>
      </c>
      <c r="K145" s="177">
        <f>T145</f>
        <v>662061635028</v>
      </c>
      <c r="L145" s="95">
        <f>8544789874+187933628760</f>
        <v>196478418634</v>
      </c>
      <c r="M145" s="95">
        <v>1381436578115</v>
      </c>
      <c r="N145" s="109">
        <f t="shared" si="11"/>
        <v>51.201938495617114</v>
      </c>
      <c r="O145" s="110">
        <f>(J145)/(I145/N145)</f>
        <v>10.365148998473634</v>
      </c>
      <c r="P145" s="111">
        <f t="shared" si="12"/>
        <v>113.71398417151936</v>
      </c>
      <c r="Q145" s="143">
        <v>466876024725</v>
      </c>
      <c r="R145" s="143">
        <v>448789724498</v>
      </c>
      <c r="S145" s="117">
        <f t="shared" si="13"/>
        <v>18086300227</v>
      </c>
      <c r="T145" s="143">
        <v>662061635028</v>
      </c>
      <c r="U145" s="143">
        <v>587702025103</v>
      </c>
      <c r="V145" s="200">
        <f t="shared" si="14"/>
        <v>1.1265260399808352</v>
      </c>
    </row>
    <row r="146" spans="2:22" s="64" customFormat="1" ht="47.25">
      <c r="B146" s="204" t="s">
        <v>324</v>
      </c>
      <c r="C146" s="95">
        <v>1860438</v>
      </c>
      <c r="D146" s="95">
        <v>181431</v>
      </c>
      <c r="E146" s="95">
        <v>2820273</v>
      </c>
      <c r="F146" s="106">
        <f t="shared" si="10"/>
        <v>0.59533491970458174</v>
      </c>
      <c r="G146" s="95">
        <v>230736</v>
      </c>
      <c r="H146" s="95">
        <v>1358342</v>
      </c>
      <c r="I146" s="95">
        <v>360</v>
      </c>
      <c r="J146" s="106">
        <f>$J$4/(H146/G146)</f>
        <v>61.15172762087898</v>
      </c>
      <c r="K146" s="177">
        <f>T146</f>
        <v>195093</v>
      </c>
      <c r="L146" s="95">
        <f>322514+42</f>
        <v>322556</v>
      </c>
      <c r="M146" s="95">
        <v>2197907</v>
      </c>
      <c r="N146" s="109">
        <f t="shared" si="11"/>
        <v>52.832153498760412</v>
      </c>
      <c r="O146" s="110">
        <f>(J146)/(I146/N146)</f>
        <v>8.9743818343907371</v>
      </c>
      <c r="P146" s="111">
        <f t="shared" si="12"/>
        <v>105.00949928524865</v>
      </c>
      <c r="Q146" s="95">
        <v>959835</v>
      </c>
      <c r="R146" s="95">
        <v>588548</v>
      </c>
      <c r="S146" s="117">
        <f t="shared" si="13"/>
        <v>371287</v>
      </c>
      <c r="T146" s="95">
        <v>195093</v>
      </c>
      <c r="U146" s="95">
        <v>2625180</v>
      </c>
      <c r="V146" s="200">
        <f t="shared" si="14"/>
        <v>7.4316046899641164E-2</v>
      </c>
    </row>
    <row r="147" spans="2:22" ht="31.5">
      <c r="B147" s="204" t="s">
        <v>325</v>
      </c>
      <c r="C147" s="94">
        <v>8120805370192</v>
      </c>
      <c r="D147" s="94">
        <v>2385920172489</v>
      </c>
      <c r="E147" s="94">
        <v>12439267396015</v>
      </c>
      <c r="F147" s="106">
        <f t="shared" si="10"/>
        <v>0.46103078381771967</v>
      </c>
      <c r="G147" s="94">
        <v>3090544151155</v>
      </c>
      <c r="H147" s="94">
        <v>8892725955545</v>
      </c>
      <c r="I147" s="95">
        <v>360</v>
      </c>
      <c r="J147" s="106">
        <f>$J$4/(H147/G147)</f>
        <v>125.1130305800156</v>
      </c>
      <c r="K147" s="177">
        <f>T147</f>
        <v>2675166377592</v>
      </c>
      <c r="L147" s="94">
        <f>2325439969320+21503683945</f>
        <v>2346943653265</v>
      </c>
      <c r="M147" s="94">
        <v>17368532547558</v>
      </c>
      <c r="N147" s="109">
        <f t="shared" si="11"/>
        <v>48.64542890206301</v>
      </c>
      <c r="O147" s="110">
        <f>(J147)/(I147/N147)</f>
        <v>16.906047316116066</v>
      </c>
      <c r="P147" s="111">
        <f t="shared" si="12"/>
        <v>156.85241216596256</v>
      </c>
      <c r="Q147" s="94">
        <v>4318462025823</v>
      </c>
      <c r="R147" s="94">
        <v>3822079850617</v>
      </c>
      <c r="S147" s="117">
        <f t="shared" si="13"/>
        <v>496382175206</v>
      </c>
      <c r="T147" s="94">
        <v>2675166377592</v>
      </c>
      <c r="U147" s="94">
        <v>9764101018423</v>
      </c>
      <c r="V147" s="200">
        <f t="shared" si="14"/>
        <v>0.27397979317752552</v>
      </c>
    </row>
    <row r="148" spans="2:22" ht="41.25" customHeight="1">
      <c r="B148" s="204" t="s">
        <v>326</v>
      </c>
      <c r="C148" s="94">
        <v>2040430857906</v>
      </c>
      <c r="D148" s="94">
        <v>854811681426</v>
      </c>
      <c r="E148" s="94">
        <v>3012778637568</v>
      </c>
      <c r="F148" s="106">
        <f t="shared" si="10"/>
        <v>0.39353013251483532</v>
      </c>
      <c r="G148" s="94">
        <v>687406883246</v>
      </c>
      <c r="H148" s="94">
        <v>3135542319600</v>
      </c>
      <c r="I148" s="95">
        <v>360</v>
      </c>
      <c r="J148" s="106">
        <f>$J$4/(H148/G148)</f>
        <v>78.923022796301851</v>
      </c>
      <c r="K148" s="177">
        <f>T148</f>
        <v>1291699778059</v>
      </c>
      <c r="L148" s="94">
        <f>43761562484+471168677740</f>
        <v>514930240224</v>
      </c>
      <c r="M148" s="94">
        <v>4521024379360</v>
      </c>
      <c r="N148" s="109">
        <f t="shared" si="11"/>
        <v>41.00285044401415</v>
      </c>
      <c r="O148" s="110">
        <f>(J148)/(I148/N148)</f>
        <v>8.9890802786285686</v>
      </c>
      <c r="P148" s="111">
        <f t="shared" si="12"/>
        <v>110.93679296168744</v>
      </c>
      <c r="Q148" s="94">
        <v>972347779662</v>
      </c>
      <c r="R148" s="94">
        <v>704109629178</v>
      </c>
      <c r="S148" s="117">
        <f t="shared" si="13"/>
        <v>268238150484</v>
      </c>
      <c r="T148" s="94">
        <v>1291699778059</v>
      </c>
      <c r="U148" s="94">
        <v>1721078859509</v>
      </c>
      <c r="V148" s="200">
        <f t="shared" si="14"/>
        <v>0.75051748554247188</v>
      </c>
    </row>
    <row r="149" spans="2:22" s="64" customFormat="1" ht="31.5">
      <c r="B149" s="204" t="s">
        <v>327</v>
      </c>
      <c r="C149" s="95">
        <v>1052936822</v>
      </c>
      <c r="D149" s="143">
        <v>429723052</v>
      </c>
      <c r="E149" s="95">
        <v>1317314767</v>
      </c>
      <c r="F149" s="106">
        <f t="shared" si="10"/>
        <v>0.47309404374117975</v>
      </c>
      <c r="G149" s="95">
        <v>324081925</v>
      </c>
      <c r="H149" s="143">
        <v>861652174</v>
      </c>
      <c r="I149" s="95">
        <v>360</v>
      </c>
      <c r="J149" s="106">
        <f>$J$4/(H149/G149)</f>
        <v>135.40207582648077</v>
      </c>
      <c r="K149" s="177">
        <f>T149</f>
        <v>1361171539</v>
      </c>
      <c r="L149" s="95">
        <f>263515696+126021570</f>
        <v>389537266</v>
      </c>
      <c r="M149" s="95">
        <v>965818287</v>
      </c>
      <c r="N149" s="109">
        <f t="shared" si="11"/>
        <v>145.19648017391495</v>
      </c>
      <c r="O149" s="110">
        <f>(J149)/(I149/N149)</f>
        <v>54.610846717351507</v>
      </c>
      <c r="P149" s="111">
        <f t="shared" si="12"/>
        <v>225.98770928304421</v>
      </c>
      <c r="Q149" s="143">
        <v>264377945</v>
      </c>
      <c r="R149" s="143">
        <v>223282492</v>
      </c>
      <c r="S149" s="117">
        <f t="shared" si="13"/>
        <v>41095453</v>
      </c>
      <c r="T149" s="95">
        <f>429723052+931448487</f>
        <v>1361171539</v>
      </c>
      <c r="U149" s="95">
        <f>-43856772</f>
        <v>-43856772</v>
      </c>
      <c r="V149" s="200">
        <f t="shared" si="14"/>
        <v>-31.036747050147696</v>
      </c>
    </row>
    <row r="150" spans="2:22" ht="50.25" customHeight="1">
      <c r="B150" s="204" t="s">
        <v>328</v>
      </c>
      <c r="C150" s="94">
        <v>595338719</v>
      </c>
      <c r="D150" s="94">
        <v>129820145</v>
      </c>
      <c r="E150" s="94">
        <v>711055830</v>
      </c>
      <c r="F150" s="106">
        <f t="shared" si="10"/>
        <v>0.65468638939364299</v>
      </c>
      <c r="G150" s="94">
        <v>183724387</v>
      </c>
      <c r="H150" s="94">
        <v>404600761</v>
      </c>
      <c r="I150" s="95">
        <v>360</v>
      </c>
      <c r="J150" s="106">
        <f>$J$4/(H150/G150)</f>
        <v>163.47171260016489</v>
      </c>
      <c r="K150" s="177">
        <f>T150</f>
        <v>166811511</v>
      </c>
      <c r="L150" s="94">
        <f>142590516+812211</f>
        <v>143402727</v>
      </c>
      <c r="M150" s="94">
        <v>863207535</v>
      </c>
      <c r="N150" s="109">
        <f t="shared" si="11"/>
        <v>59.805990595297573</v>
      </c>
      <c r="O150" s="110">
        <f>(J150)/(I150/N150)</f>
        <v>27.15718807322958</v>
      </c>
      <c r="P150" s="111">
        <f t="shared" si="12"/>
        <v>196.12051512223289</v>
      </c>
      <c r="Q150" s="94">
        <v>115717111</v>
      </c>
      <c r="R150" s="94">
        <v>111240356</v>
      </c>
      <c r="S150" s="117">
        <f t="shared" si="13"/>
        <v>4476755</v>
      </c>
      <c r="T150" s="94">
        <v>166811511</v>
      </c>
      <c r="U150" s="94">
        <v>544244319</v>
      </c>
      <c r="V150" s="200">
        <f t="shared" si="14"/>
        <v>0.3065011524722962</v>
      </c>
    </row>
    <row r="151" spans="2:22" ht="31.5">
      <c r="B151" s="202" t="s">
        <v>329</v>
      </c>
      <c r="C151" s="94">
        <v>78077523686</v>
      </c>
      <c r="D151" s="94">
        <v>47994726116</v>
      </c>
      <c r="E151" s="94">
        <v>172557400461</v>
      </c>
      <c r="F151" s="106">
        <f t="shared" si="10"/>
        <v>0.17433501831640694</v>
      </c>
      <c r="G151" s="94">
        <v>32258012129</v>
      </c>
      <c r="H151" s="94">
        <v>80959311191</v>
      </c>
      <c r="I151" s="95">
        <v>360</v>
      </c>
      <c r="J151" s="106">
        <f>$J$4/(H151/G151)</f>
        <v>143.44099765180525</v>
      </c>
      <c r="K151" s="177">
        <f>T151</f>
        <v>75460789155</v>
      </c>
      <c r="L151" s="94">
        <v>39596938982</v>
      </c>
      <c r="M151" s="94">
        <v>222302407528</v>
      </c>
      <c r="N151" s="109">
        <f t="shared" si="11"/>
        <v>64.123903074349442</v>
      </c>
      <c r="O151" s="110">
        <f>(J151)/(I151/N151)</f>
        <v>25.549990639756519</v>
      </c>
      <c r="P151" s="111">
        <f t="shared" si="12"/>
        <v>182.01491008639817</v>
      </c>
      <c r="Q151" s="94">
        <v>94479876775</v>
      </c>
      <c r="R151" s="94">
        <v>100074861191</v>
      </c>
      <c r="S151" s="117">
        <f t="shared" si="13"/>
        <v>-5594984416</v>
      </c>
      <c r="T151" s="94">
        <v>75460789155</v>
      </c>
      <c r="U151" s="94">
        <v>97096611306</v>
      </c>
      <c r="V151" s="200">
        <f t="shared" si="14"/>
        <v>0.77717222197575253</v>
      </c>
    </row>
    <row r="152" spans="2:22" ht="47.25">
      <c r="B152" s="204" t="s">
        <v>330</v>
      </c>
      <c r="C152" s="94">
        <v>366091435</v>
      </c>
      <c r="D152" s="94">
        <v>83717824</v>
      </c>
      <c r="E152" s="94">
        <v>459352720</v>
      </c>
      <c r="F152" s="106">
        <f t="shared" si="10"/>
        <v>0.61472066824813842</v>
      </c>
      <c r="G152" s="94">
        <v>43373562</v>
      </c>
      <c r="H152" s="94">
        <v>201981351</v>
      </c>
      <c r="I152" s="95">
        <v>360</v>
      </c>
      <c r="J152" s="106">
        <f>$J$4/(H152/G152)</f>
        <v>77.306554504628494</v>
      </c>
      <c r="K152" s="177">
        <f>T152</f>
        <v>90473777</v>
      </c>
      <c r="L152" s="94">
        <f>16106851+100815838</f>
        <v>116922689</v>
      </c>
      <c r="M152" s="94">
        <v>497501571</v>
      </c>
      <c r="N152" s="109">
        <f t="shared" si="11"/>
        <v>84.607105773340365</v>
      </c>
      <c r="O152" s="110">
        <f>(J152)/(I152/N152)</f>
        <v>18.16856620540446</v>
      </c>
      <c r="P152" s="111">
        <f t="shared" si="12"/>
        <v>143.7450940725644</v>
      </c>
      <c r="Q152" s="94">
        <v>93261285</v>
      </c>
      <c r="R152" s="154">
        <v>92143394</v>
      </c>
      <c r="S152" s="117">
        <f t="shared" si="13"/>
        <v>1117891</v>
      </c>
      <c r="T152" s="94">
        <v>90473777</v>
      </c>
      <c r="U152" s="94">
        <v>368878943</v>
      </c>
      <c r="V152" s="200">
        <f t="shared" si="14"/>
        <v>0.24526685167822115</v>
      </c>
    </row>
    <row r="153" spans="2:22" ht="49.5" customHeight="1">
      <c r="B153" s="204" t="s">
        <v>331</v>
      </c>
      <c r="C153" s="94">
        <v>3714700991066</v>
      </c>
      <c r="D153" s="94">
        <v>1237332206210</v>
      </c>
      <c r="E153" s="94">
        <v>5609556653195</v>
      </c>
      <c r="F153" s="106">
        <f t="shared" si="10"/>
        <v>0.44163361527777434</v>
      </c>
      <c r="G153" s="94">
        <v>1056050634231</v>
      </c>
      <c r="H153" s="94">
        <v>4572218401004</v>
      </c>
      <c r="I153" s="95">
        <v>360</v>
      </c>
      <c r="J153" s="106">
        <f>$J$4/(H153/G153)</f>
        <v>83.149621251617774</v>
      </c>
      <c r="K153" s="177">
        <f>T153</f>
        <v>1527428955386</v>
      </c>
      <c r="L153" s="94">
        <f>838837545878+805207672</f>
        <v>839642753550</v>
      </c>
      <c r="M153" s="94">
        <v>7512115037587</v>
      </c>
      <c r="N153" s="109">
        <f t="shared" si="11"/>
        <v>40.237854421235532</v>
      </c>
      <c r="O153" s="110">
        <f>(J153)/(I153/N153)</f>
        <v>9.2937843197318557</v>
      </c>
      <c r="P153" s="111">
        <f t="shared" si="12"/>
        <v>114.09369135312144</v>
      </c>
      <c r="Q153" s="94">
        <v>1894855662129</v>
      </c>
      <c r="R153" s="94">
        <v>1425943913837</v>
      </c>
      <c r="S153" s="117">
        <f t="shared" si="13"/>
        <v>468911748292</v>
      </c>
      <c r="T153" s="94">
        <v>1527428955386</v>
      </c>
      <c r="U153" s="94">
        <v>4082127697809</v>
      </c>
      <c r="V153" s="200">
        <f t="shared" si="14"/>
        <v>0.37417471192922669</v>
      </c>
    </row>
    <row r="154" spans="2:22" ht="31.5">
      <c r="B154" s="212" t="s">
        <v>162</v>
      </c>
      <c r="C154" s="94"/>
      <c r="D154" s="94"/>
      <c r="E154" s="94"/>
      <c r="F154" s="106" t="e">
        <f t="shared" si="10"/>
        <v>#DIV/0!</v>
      </c>
      <c r="G154" s="94"/>
      <c r="H154" s="94"/>
      <c r="I154" s="94"/>
      <c r="J154" s="106" t="e">
        <f>$J$4/(H154/G154)</f>
        <v>#DIV/0!</v>
      </c>
      <c r="K154" s="177">
        <f>T154</f>
        <v>0</v>
      </c>
      <c r="L154" s="94"/>
      <c r="M154" s="94"/>
      <c r="N154" s="109" t="e">
        <f t="shared" si="11"/>
        <v>#DIV/0!</v>
      </c>
      <c r="O154" s="110" t="e">
        <f>(J154)/(I154/N154)</f>
        <v>#DIV/0!</v>
      </c>
      <c r="P154" s="111" t="e">
        <f t="shared" si="12"/>
        <v>#DIV/0!</v>
      </c>
      <c r="Q154" s="94"/>
      <c r="R154" s="94"/>
      <c r="S154" s="117">
        <f t="shared" si="13"/>
        <v>0</v>
      </c>
      <c r="T154" s="94"/>
      <c r="U154" s="94"/>
      <c r="V154" s="200" t="e">
        <f t="shared" si="14"/>
        <v>#DIV/0!</v>
      </c>
    </row>
    <row r="155" spans="2:22" ht="31.5">
      <c r="B155" s="204" t="s">
        <v>332</v>
      </c>
      <c r="C155" s="94">
        <v>874017297803</v>
      </c>
      <c r="D155" s="94">
        <v>486053837459</v>
      </c>
      <c r="E155" s="94">
        <v>1663679837324</v>
      </c>
      <c r="F155" s="106">
        <f t="shared" si="10"/>
        <v>0.23319598617485951</v>
      </c>
      <c r="G155" s="94">
        <v>419658098409</v>
      </c>
      <c r="H155" s="94">
        <v>1410908151275</v>
      </c>
      <c r="I155" s="95">
        <v>360</v>
      </c>
      <c r="J155" s="106">
        <f>$J$4/(H155/G155)</f>
        <v>107.07778198794573</v>
      </c>
      <c r="K155" s="177">
        <f>T155</f>
        <v>611508876121</v>
      </c>
      <c r="L155" s="94">
        <f>313689080745+5553584414</f>
        <v>319242665159</v>
      </c>
      <c r="M155" s="94">
        <v>2308203551971</v>
      </c>
      <c r="N155" s="109">
        <f t="shared" si="11"/>
        <v>49.79082514585955</v>
      </c>
      <c r="O155" s="110">
        <f>(J155)/(I155/N155)</f>
        <v>14.80969755546743</v>
      </c>
      <c r="P155" s="111">
        <f t="shared" si="12"/>
        <v>142.05890957833785</v>
      </c>
      <c r="Q155" s="94">
        <v>989662539521</v>
      </c>
      <c r="R155" s="94">
        <v>747414260578</v>
      </c>
      <c r="S155" s="117">
        <f t="shared" si="13"/>
        <v>242248278943</v>
      </c>
      <c r="T155" s="94">
        <f>486053837459+125455038662</f>
        <v>611508876121</v>
      </c>
      <c r="U155" s="94">
        <v>1252170961203</v>
      </c>
      <c r="V155" s="200">
        <f t="shared" si="14"/>
        <v>0.48835893425727123</v>
      </c>
    </row>
    <row r="156" spans="2:22" ht="31.5">
      <c r="B156" s="204" t="s">
        <v>333</v>
      </c>
      <c r="C156" s="94">
        <v>442121631299</v>
      </c>
      <c r="D156" s="94">
        <v>111683722179</v>
      </c>
      <c r="E156" s="94">
        <v>623002100394</v>
      </c>
      <c r="F156" s="106">
        <f t="shared" si="10"/>
        <v>0.53039613977388511</v>
      </c>
      <c r="G156" s="94">
        <v>74985171053</v>
      </c>
      <c r="H156" s="94">
        <v>331723960863</v>
      </c>
      <c r="I156" s="95">
        <v>360</v>
      </c>
      <c r="J156" s="106">
        <f>$J$4/(H156/G156)</f>
        <v>81.376881877485573</v>
      </c>
      <c r="K156" s="177">
        <f>T156</f>
        <v>180110021474</v>
      </c>
      <c r="L156" s="94">
        <f>12466564617+290737060603</f>
        <v>303203625220</v>
      </c>
      <c r="M156" s="94">
        <v>671398849823</v>
      </c>
      <c r="N156" s="109">
        <f t="shared" si="11"/>
        <v>162.5759488685093</v>
      </c>
      <c r="O156" s="110">
        <f>(J156)/(I156/N156)</f>
        <v>36.749788297757817</v>
      </c>
      <c r="P156" s="111">
        <f t="shared" si="12"/>
        <v>207.20304244823706</v>
      </c>
      <c r="Q156" s="94">
        <v>180880469095</v>
      </c>
      <c r="R156" s="94">
        <v>159576331152</v>
      </c>
      <c r="S156" s="117">
        <f t="shared" si="13"/>
        <v>21304137943</v>
      </c>
      <c r="T156" s="94">
        <v>180110021474</v>
      </c>
      <c r="U156" s="94">
        <v>442892078920</v>
      </c>
      <c r="V156" s="200">
        <f t="shared" si="14"/>
        <v>0.40666796731429788</v>
      </c>
    </row>
    <row r="157" spans="2:22" ht="31.5">
      <c r="B157" s="204" t="s">
        <v>334</v>
      </c>
      <c r="C157" s="94">
        <v>376694285634</v>
      </c>
      <c r="D157" s="94">
        <v>104267201912</v>
      </c>
      <c r="E157" s="94">
        <v>500138658228</v>
      </c>
      <c r="F157" s="106">
        <f t="shared" si="10"/>
        <v>0.54470311230732271</v>
      </c>
      <c r="G157" s="94">
        <v>86415542961</v>
      </c>
      <c r="H157" s="94">
        <v>187750245429</v>
      </c>
      <c r="I157" s="95">
        <v>360</v>
      </c>
      <c r="J157" s="106">
        <f>$J$4/(H157/G157)</f>
        <v>165.69669666676663</v>
      </c>
      <c r="K157" s="177">
        <f>T157</f>
        <v>121183242779</v>
      </c>
      <c r="L157" s="94">
        <v>216615051138</v>
      </c>
      <c r="M157" s="94">
        <v>434747101600</v>
      </c>
      <c r="N157" s="109">
        <f t="shared" si="11"/>
        <v>179.37191098614559</v>
      </c>
      <c r="O157" s="110">
        <f>(J157)/(I157/N157)</f>
        <v>82.559258681137862</v>
      </c>
      <c r="P157" s="111">
        <f t="shared" si="12"/>
        <v>262.50934897177433</v>
      </c>
      <c r="Q157" s="94">
        <v>123444372594</v>
      </c>
      <c r="R157" s="94">
        <v>127981264852</v>
      </c>
      <c r="S157" s="117">
        <f t="shared" si="13"/>
        <v>-4536892258</v>
      </c>
      <c r="T157" s="94">
        <v>121183242779</v>
      </c>
      <c r="U157" s="94">
        <v>378955415449</v>
      </c>
      <c r="V157" s="200">
        <f t="shared" si="14"/>
        <v>0.31978232224341679</v>
      </c>
    </row>
    <row r="158" spans="2:22" ht="31.5">
      <c r="B158" s="204" t="s">
        <v>335</v>
      </c>
      <c r="C158" s="94">
        <v>6337170</v>
      </c>
      <c r="D158" s="94">
        <v>8864242</v>
      </c>
      <c r="E158" s="94">
        <v>7943500</v>
      </c>
      <c r="F158" s="106">
        <f t="shared" si="10"/>
        <v>-0.31813079876628692</v>
      </c>
      <c r="G158" s="94">
        <v>2325989</v>
      </c>
      <c r="H158" s="94">
        <v>17304613</v>
      </c>
      <c r="I158" s="95">
        <v>360</v>
      </c>
      <c r="J158" s="106">
        <f>$J$4/(H158/G158)</f>
        <v>48.389180387911594</v>
      </c>
      <c r="K158" s="177">
        <f>T158</f>
        <v>9534156</v>
      </c>
      <c r="L158" s="94">
        <f>2464145+431370</f>
        <v>2895515</v>
      </c>
      <c r="M158" s="94">
        <v>34511534</v>
      </c>
      <c r="N158" s="109">
        <f t="shared" si="11"/>
        <v>30.20397180838151</v>
      </c>
      <c r="O158" s="110">
        <f>(J158)/(I158/N158)</f>
        <v>4.0598484451865815</v>
      </c>
      <c r="P158" s="111">
        <f t="shared" si="12"/>
        <v>74.53330375110653</v>
      </c>
      <c r="Q158" s="94">
        <v>7943500</v>
      </c>
      <c r="R158" s="94">
        <v>7485249</v>
      </c>
      <c r="S158" s="117">
        <f t="shared" si="13"/>
        <v>458251</v>
      </c>
      <c r="T158" s="94">
        <v>9534156</v>
      </c>
      <c r="U158" s="94">
        <v>4746514</v>
      </c>
      <c r="V158" s="200">
        <f t="shared" si="14"/>
        <v>2.0086648854296016</v>
      </c>
    </row>
    <row r="159" spans="2:22" ht="15.75">
      <c r="B159" s="203" t="s">
        <v>167</v>
      </c>
      <c r="C159" s="94"/>
      <c r="D159" s="94"/>
      <c r="E159" s="94"/>
      <c r="F159" s="106" t="e">
        <f t="shared" si="10"/>
        <v>#DIV/0!</v>
      </c>
      <c r="G159" s="94"/>
      <c r="H159" s="94"/>
      <c r="I159" s="94"/>
      <c r="J159" s="106" t="e">
        <f>$J$4/(H159/G159)</f>
        <v>#DIV/0!</v>
      </c>
      <c r="K159" s="177">
        <f>T159</f>
        <v>0</v>
      </c>
      <c r="L159" s="94"/>
      <c r="M159" s="94"/>
      <c r="N159" s="109" t="e">
        <f t="shared" si="11"/>
        <v>#DIV/0!</v>
      </c>
      <c r="O159" s="110" t="e">
        <f>(J159)/(I159/N159)</f>
        <v>#DIV/0!</v>
      </c>
      <c r="P159" s="111" t="e">
        <f t="shared" si="12"/>
        <v>#DIV/0!</v>
      </c>
      <c r="Q159" s="94"/>
      <c r="R159" s="94"/>
      <c r="S159" s="117">
        <f t="shared" si="13"/>
        <v>0</v>
      </c>
      <c r="T159" s="94"/>
      <c r="U159" s="94"/>
      <c r="V159" s="200" t="e">
        <f t="shared" si="14"/>
        <v>#DIV/0!</v>
      </c>
    </row>
    <row r="160" spans="2:22" ht="31.5">
      <c r="B160" s="204" t="s">
        <v>336</v>
      </c>
      <c r="C160" s="94">
        <v>208662161263</v>
      </c>
      <c r="D160" s="94">
        <v>68115407587</v>
      </c>
      <c r="E160" s="94">
        <v>370186989798</v>
      </c>
      <c r="F160" s="106">
        <f t="shared" si="10"/>
        <v>0.3796642171371073</v>
      </c>
      <c r="G160" s="94">
        <v>59697466821</v>
      </c>
      <c r="H160" s="94">
        <v>191757615287</v>
      </c>
      <c r="I160" s="95">
        <v>360</v>
      </c>
      <c r="J160" s="106">
        <f>$J$4/(H160/G160)</f>
        <v>112.07423508784615</v>
      </c>
      <c r="K160" s="177">
        <f>T160</f>
        <v>76400157226</v>
      </c>
      <c r="L160" s="94">
        <v>59072395008</v>
      </c>
      <c r="M160" s="94">
        <v>286466806840</v>
      </c>
      <c r="N160" s="109">
        <f t="shared" si="11"/>
        <v>74.235693962120052</v>
      </c>
      <c r="O160" s="110">
        <f>(J160)/(I160/N160)</f>
        <v>23.110857269500123</v>
      </c>
      <c r="P160" s="111">
        <f t="shared" si="12"/>
        <v>163.19907178046608</v>
      </c>
      <c r="Q160" s="94">
        <v>161524828535</v>
      </c>
      <c r="R160" s="94">
        <v>123720560636</v>
      </c>
      <c r="S160" s="117">
        <f t="shared" si="13"/>
        <v>37804267899</v>
      </c>
      <c r="T160" s="94">
        <v>76400157226</v>
      </c>
      <c r="U160" s="94">
        <v>293786832572</v>
      </c>
      <c r="V160" s="200">
        <f t="shared" si="14"/>
        <v>0.26005303422601889</v>
      </c>
    </row>
    <row r="161" spans="2:22" ht="31.5">
      <c r="B161" s="202" t="s">
        <v>337</v>
      </c>
      <c r="C161" s="94">
        <v>65027601187</v>
      </c>
      <c r="D161" s="94">
        <v>8227166909</v>
      </c>
      <c r="E161" s="94">
        <v>100322024001</v>
      </c>
      <c r="F161" s="106">
        <f t="shared" si="10"/>
        <v>0.56618110373684072</v>
      </c>
      <c r="G161" s="94">
        <v>47833812926</v>
      </c>
      <c r="H161" s="94">
        <v>82439147507</v>
      </c>
      <c r="I161" s="95">
        <v>360</v>
      </c>
      <c r="J161" s="106">
        <f>$J$4/(H161/G161)</f>
        <v>208.88343916824002</v>
      </c>
      <c r="K161" s="177">
        <f>T161</f>
        <v>32370776498</v>
      </c>
      <c r="L161" s="94">
        <f>3239996615+6353158595</f>
        <v>9593155210</v>
      </c>
      <c r="M161" s="94">
        <v>102971318497</v>
      </c>
      <c r="N161" s="109">
        <f t="shared" si="11"/>
        <v>33.538813778524322</v>
      </c>
      <c r="O161" s="110">
        <f>(J161)/(I161/N161)</f>
        <v>19.460285465781432</v>
      </c>
      <c r="P161" s="111">
        <f t="shared" si="12"/>
        <v>222.96196748098291</v>
      </c>
      <c r="Q161" s="94">
        <v>35294422814</v>
      </c>
      <c r="R161" s="94">
        <v>33058133847</v>
      </c>
      <c r="S161" s="117">
        <f t="shared" si="13"/>
        <v>2236288967</v>
      </c>
      <c r="T161" s="94">
        <v>32370776498</v>
      </c>
      <c r="U161" s="94">
        <v>67951247503</v>
      </c>
      <c r="V161" s="200">
        <f t="shared" si="14"/>
        <v>0.47638237247330673</v>
      </c>
    </row>
    <row r="162" spans="2:22" ht="31.5">
      <c r="B162" s="202" t="s">
        <v>338</v>
      </c>
      <c r="C162" s="94">
        <v>455111382760</v>
      </c>
      <c r="D162" s="94">
        <v>366938314354</v>
      </c>
      <c r="E162" s="94">
        <v>808892238344</v>
      </c>
      <c r="F162" s="106">
        <f t="shared" si="10"/>
        <v>0.10900471561763506</v>
      </c>
      <c r="G162" s="94">
        <v>194645138281</v>
      </c>
      <c r="H162" s="94">
        <v>410834974144</v>
      </c>
      <c r="I162" s="95">
        <v>360</v>
      </c>
      <c r="J162" s="106">
        <f>$J$4/(H162/G162)</f>
        <v>170.56057587881816</v>
      </c>
      <c r="K162" s="177">
        <f>T162</f>
        <v>413237817893</v>
      </c>
      <c r="L162" s="94">
        <f>248385887660+1592516930</f>
        <v>249978404590</v>
      </c>
      <c r="M162" s="94">
        <v>513547309970</v>
      </c>
      <c r="N162" s="109">
        <f t="shared" si="11"/>
        <v>175.23648533502609</v>
      </c>
      <c r="O162" s="110">
        <f>(J162)/(I162/N162)</f>
        <v>83.023432927005899</v>
      </c>
      <c r="P162" s="111">
        <f t="shared" si="12"/>
        <v>262.77362828683835</v>
      </c>
      <c r="Q162" s="94">
        <v>353780855584</v>
      </c>
      <c r="R162" s="94">
        <v>372679099331</v>
      </c>
      <c r="S162" s="117">
        <f t="shared" si="13"/>
        <v>-18898243747</v>
      </c>
      <c r="T162" s="94">
        <v>413237817893</v>
      </c>
      <c r="U162" s="94">
        <v>395654420451</v>
      </c>
      <c r="V162" s="200">
        <f t="shared" si="14"/>
        <v>1.0444413016337768</v>
      </c>
    </row>
    <row r="163" spans="2:22" ht="15.75"/>
    <row r="164" spans="2:22" ht="15.75"/>
    <row r="165" spans="2:22" ht="15.75"/>
    <row r="166" spans="2:22" ht="15.75"/>
    <row r="167" spans="2:22" ht="15.75"/>
    <row r="168" spans="2:22" ht="15.75"/>
    <row r="169" spans="2:22" ht="15.75"/>
    <row r="170" spans="2:22" ht="15.75"/>
    <row r="171" spans="2:22" ht="15.75"/>
    <row r="172" spans="2:22" ht="15.75"/>
    <row r="173" spans="2:22" ht="15.75"/>
    <row r="174" spans="2:22" ht="15.75"/>
    <row r="175" spans="2:22" ht="15.75"/>
    <row r="176" spans="2:22" ht="15.75"/>
    <row r="177" spans="3:21" ht="15.75" customHeight="1">
      <c r="C177" s="62"/>
      <c r="D177" s="62"/>
      <c r="E177" s="62"/>
      <c r="G177" s="62"/>
      <c r="H177" s="62"/>
      <c r="I177" s="62"/>
      <c r="L177" s="62"/>
      <c r="Q177" s="62"/>
      <c r="R177" s="62"/>
      <c r="T177" s="62"/>
      <c r="U177" s="62"/>
    </row>
    <row r="178" spans="3:21" ht="15.75" customHeight="1">
      <c r="C178" s="62"/>
      <c r="D178" s="62"/>
      <c r="E178" s="62"/>
      <c r="G178" s="62"/>
      <c r="H178" s="62"/>
      <c r="I178" s="62"/>
      <c r="L178" s="62"/>
      <c r="Q178" s="62"/>
      <c r="R178" s="62"/>
      <c r="T178" s="62"/>
      <c r="U178" s="62"/>
    </row>
    <row r="179" spans="3:21" ht="15.75" customHeight="1">
      <c r="C179" s="62"/>
      <c r="D179" s="62"/>
      <c r="E179" s="62"/>
      <c r="G179" s="62"/>
      <c r="H179" s="62"/>
      <c r="I179" s="62"/>
      <c r="L179" s="62"/>
      <c r="Q179" s="62"/>
      <c r="R179" s="62"/>
      <c r="T179" s="62"/>
      <c r="U179" s="62"/>
    </row>
    <row r="180" spans="3:21" ht="15.75" customHeight="1">
      <c r="C180" s="62"/>
      <c r="D180" s="62"/>
      <c r="E180" s="62"/>
      <c r="G180" s="62"/>
      <c r="H180" s="62"/>
      <c r="I180" s="62"/>
      <c r="L180" s="62"/>
      <c r="Q180" s="62"/>
      <c r="R180" s="62"/>
      <c r="T180" s="62"/>
      <c r="U180" s="62"/>
    </row>
    <row r="181" spans="3:21" ht="15.75" customHeight="1">
      <c r="C181" s="62"/>
      <c r="D181" s="62"/>
      <c r="E181" s="62"/>
      <c r="G181" s="62"/>
      <c r="H181" s="62"/>
      <c r="I181" s="62"/>
      <c r="L181" s="62"/>
      <c r="Q181" s="62"/>
      <c r="R181" s="62"/>
      <c r="T181" s="62"/>
      <c r="U181" s="62"/>
    </row>
    <row r="182" spans="3:21" ht="15.75" customHeight="1">
      <c r="C182" s="62"/>
      <c r="D182" s="62"/>
      <c r="E182" s="62"/>
      <c r="G182" s="62"/>
      <c r="H182" s="62"/>
      <c r="I182" s="62"/>
      <c r="L182" s="62"/>
      <c r="Q182" s="62"/>
      <c r="R182" s="62"/>
      <c r="T182" s="62"/>
      <c r="U182" s="62"/>
    </row>
    <row r="183" spans="3:21" ht="15.75" customHeight="1">
      <c r="C183" s="62"/>
      <c r="D183" s="62"/>
      <c r="E183" s="62"/>
      <c r="G183" s="62"/>
      <c r="H183" s="62"/>
      <c r="I183" s="62"/>
      <c r="L183" s="62"/>
      <c r="Q183" s="62"/>
      <c r="R183" s="62"/>
      <c r="T183" s="62"/>
      <c r="U183" s="62"/>
    </row>
    <row r="184" spans="3:21" ht="15.75" customHeight="1">
      <c r="C184" s="62"/>
      <c r="D184" s="62"/>
      <c r="E184" s="62"/>
      <c r="G184" s="62"/>
      <c r="H184" s="62"/>
      <c r="I184" s="62"/>
      <c r="L184" s="62"/>
      <c r="Q184" s="62"/>
      <c r="R184" s="62"/>
      <c r="T184" s="62"/>
      <c r="U184" s="62"/>
    </row>
    <row r="185" spans="3:21" ht="15.75" customHeight="1">
      <c r="C185" s="62"/>
      <c r="D185" s="62"/>
      <c r="E185" s="62"/>
      <c r="G185" s="62"/>
      <c r="H185" s="62"/>
      <c r="I185" s="62"/>
      <c r="L185" s="62"/>
      <c r="Q185" s="62"/>
      <c r="R185" s="62"/>
      <c r="T185" s="62"/>
      <c r="U185" s="62"/>
    </row>
    <row r="186" spans="3:21" ht="15.75" customHeight="1">
      <c r="C186" s="62"/>
      <c r="D186" s="62"/>
      <c r="E186" s="62"/>
      <c r="G186" s="62"/>
      <c r="H186" s="62"/>
      <c r="I186" s="62"/>
      <c r="L186" s="62"/>
      <c r="Q186" s="62"/>
      <c r="R186" s="62"/>
      <c r="T186" s="62"/>
      <c r="U186" s="62"/>
    </row>
    <row r="187" spans="3:21" ht="15.75" customHeight="1">
      <c r="C187" s="62"/>
      <c r="D187" s="62"/>
      <c r="E187" s="62"/>
      <c r="G187" s="62"/>
      <c r="H187" s="62"/>
      <c r="I187" s="62"/>
      <c r="L187" s="62"/>
      <c r="Q187" s="62"/>
      <c r="R187" s="62"/>
      <c r="T187" s="62"/>
      <c r="U187" s="62"/>
    </row>
    <row r="188" spans="3:21" ht="15.75" customHeight="1">
      <c r="C188" s="62"/>
      <c r="D188" s="62"/>
      <c r="E188" s="62"/>
      <c r="G188" s="62"/>
      <c r="H188" s="62"/>
      <c r="I188" s="62"/>
      <c r="L188" s="62"/>
      <c r="Q188" s="62"/>
      <c r="R188" s="62"/>
      <c r="T188" s="62"/>
      <c r="U188" s="62"/>
    </row>
    <row r="189" spans="3:21" ht="15.75" customHeight="1">
      <c r="C189" s="62"/>
      <c r="D189" s="62"/>
      <c r="E189" s="62"/>
      <c r="G189" s="62"/>
      <c r="H189" s="62"/>
      <c r="I189" s="62"/>
      <c r="L189" s="62"/>
      <c r="Q189" s="62"/>
      <c r="R189" s="62"/>
      <c r="T189" s="62"/>
      <c r="U189" s="62"/>
    </row>
    <row r="190" spans="3:21" ht="15.75" customHeight="1">
      <c r="C190" s="62"/>
      <c r="D190" s="62"/>
      <c r="E190" s="62"/>
      <c r="G190" s="62"/>
      <c r="H190" s="62"/>
      <c r="I190" s="62"/>
      <c r="L190" s="62"/>
      <c r="Q190" s="62"/>
      <c r="R190" s="62"/>
      <c r="T190" s="62"/>
      <c r="U190" s="62"/>
    </row>
    <row r="191" spans="3:21" ht="15.75" customHeight="1">
      <c r="C191" s="62"/>
      <c r="D191" s="62"/>
      <c r="E191" s="62"/>
      <c r="G191" s="62"/>
      <c r="H191" s="62"/>
      <c r="I191" s="62"/>
      <c r="L191" s="62"/>
      <c r="Q191" s="62"/>
      <c r="R191" s="62"/>
      <c r="T191" s="62"/>
      <c r="U191" s="62"/>
    </row>
    <row r="192" spans="3:21" ht="15.75" customHeight="1">
      <c r="C192" s="62"/>
      <c r="D192" s="62"/>
      <c r="E192" s="62"/>
      <c r="G192" s="62"/>
      <c r="H192" s="62"/>
      <c r="I192" s="62"/>
      <c r="L192" s="62"/>
      <c r="Q192" s="62"/>
      <c r="R192" s="62"/>
      <c r="T192" s="62"/>
      <c r="U192" s="62"/>
    </row>
    <row r="193" spans="3:21" ht="15.75" customHeight="1">
      <c r="C193" s="62"/>
      <c r="D193" s="62"/>
      <c r="E193" s="62"/>
      <c r="G193" s="62"/>
      <c r="H193" s="62"/>
      <c r="I193" s="62"/>
      <c r="L193" s="62"/>
      <c r="Q193" s="62"/>
      <c r="R193" s="62"/>
      <c r="T193" s="62"/>
      <c r="U193" s="62"/>
    </row>
    <row r="194" spans="3:21" ht="15.75" customHeight="1">
      <c r="C194" s="62"/>
      <c r="D194" s="62"/>
      <c r="E194" s="62"/>
      <c r="G194" s="62"/>
      <c r="H194" s="62"/>
      <c r="I194" s="62"/>
      <c r="L194" s="62"/>
      <c r="Q194" s="62"/>
      <c r="R194" s="62"/>
      <c r="T194" s="62"/>
      <c r="U194" s="62"/>
    </row>
    <row r="195" spans="3:21" ht="15.75" customHeight="1">
      <c r="C195" s="62"/>
      <c r="D195" s="62"/>
      <c r="E195" s="62"/>
      <c r="G195" s="62"/>
      <c r="H195" s="62"/>
      <c r="I195" s="62"/>
      <c r="L195" s="62"/>
      <c r="Q195" s="62"/>
      <c r="R195" s="62"/>
      <c r="T195" s="62"/>
      <c r="U195" s="62"/>
    </row>
    <row r="196" spans="3:21" ht="15.75" customHeight="1">
      <c r="C196" s="62"/>
      <c r="D196" s="62"/>
      <c r="E196" s="62"/>
      <c r="G196" s="62"/>
      <c r="H196" s="62"/>
      <c r="I196" s="62"/>
      <c r="L196" s="62"/>
      <c r="Q196" s="62"/>
      <c r="R196" s="62"/>
      <c r="T196" s="62"/>
      <c r="U196" s="62"/>
    </row>
    <row r="197" spans="3:21" ht="15.75" customHeight="1">
      <c r="C197" s="62"/>
      <c r="D197" s="62"/>
      <c r="E197" s="62"/>
      <c r="G197" s="62"/>
      <c r="H197" s="62"/>
      <c r="I197" s="62"/>
      <c r="L197" s="62"/>
      <c r="Q197" s="62"/>
      <c r="R197" s="62"/>
      <c r="T197" s="62"/>
      <c r="U197" s="62"/>
    </row>
    <row r="198" spans="3:21" ht="15.75" customHeight="1">
      <c r="C198" s="62"/>
      <c r="D198" s="62"/>
      <c r="E198" s="62"/>
      <c r="G198" s="62"/>
      <c r="H198" s="62"/>
      <c r="I198" s="62"/>
      <c r="L198" s="62"/>
      <c r="Q198" s="62"/>
      <c r="R198" s="62"/>
      <c r="T198" s="62"/>
      <c r="U198" s="62"/>
    </row>
    <row r="199" spans="3:21" ht="15.75" customHeight="1">
      <c r="C199" s="62"/>
      <c r="D199" s="62"/>
      <c r="E199" s="62"/>
      <c r="G199" s="62"/>
      <c r="H199" s="62"/>
      <c r="I199" s="62"/>
      <c r="L199" s="62"/>
      <c r="Q199" s="62"/>
      <c r="R199" s="62"/>
      <c r="T199" s="62"/>
      <c r="U199" s="62"/>
    </row>
    <row r="200" spans="3:21" ht="15.75" customHeight="1">
      <c r="C200" s="62"/>
      <c r="D200" s="62"/>
      <c r="E200" s="62"/>
      <c r="G200" s="62"/>
      <c r="H200" s="62"/>
      <c r="I200" s="62"/>
      <c r="L200" s="62"/>
      <c r="Q200" s="62"/>
      <c r="R200" s="62"/>
      <c r="T200" s="62"/>
      <c r="U200" s="62"/>
    </row>
    <row r="201" spans="3:21" ht="15.75" customHeight="1">
      <c r="C201" s="62"/>
      <c r="D201" s="62"/>
      <c r="E201" s="62"/>
      <c r="G201" s="62"/>
      <c r="H201" s="62"/>
      <c r="I201" s="62"/>
      <c r="L201" s="62"/>
      <c r="Q201" s="62"/>
      <c r="R201" s="62"/>
      <c r="T201" s="62"/>
      <c r="U201" s="62"/>
    </row>
    <row r="202" spans="3:21" ht="15.75" customHeight="1">
      <c r="C202" s="62"/>
      <c r="D202" s="62"/>
      <c r="E202" s="62"/>
      <c r="G202" s="62"/>
      <c r="H202" s="62"/>
      <c r="I202" s="62"/>
      <c r="L202" s="62"/>
      <c r="Q202" s="62"/>
      <c r="R202" s="62"/>
      <c r="T202" s="62"/>
      <c r="U202" s="62"/>
    </row>
    <row r="203" spans="3:21" ht="15.75" customHeight="1">
      <c r="C203" s="62"/>
      <c r="D203" s="62"/>
      <c r="E203" s="62"/>
      <c r="G203" s="62"/>
      <c r="H203" s="62"/>
      <c r="I203" s="62"/>
      <c r="L203" s="62"/>
      <c r="Q203" s="62"/>
      <c r="R203" s="62"/>
      <c r="T203" s="62"/>
      <c r="U203" s="62"/>
    </row>
    <row r="204" spans="3:21" ht="15.75" customHeight="1">
      <c r="C204" s="62"/>
      <c r="D204" s="62"/>
      <c r="E204" s="62"/>
      <c r="G204" s="62"/>
      <c r="H204" s="62"/>
      <c r="I204" s="62"/>
      <c r="L204" s="62"/>
      <c r="Q204" s="62"/>
      <c r="R204" s="62"/>
      <c r="T204" s="62"/>
      <c r="U204" s="62"/>
    </row>
    <row r="205" spans="3:21" ht="15.75" customHeight="1">
      <c r="C205" s="62"/>
      <c r="D205" s="62"/>
      <c r="E205" s="62"/>
      <c r="G205" s="62"/>
      <c r="H205" s="62"/>
      <c r="I205" s="62"/>
      <c r="L205" s="62"/>
      <c r="Q205" s="62"/>
      <c r="R205" s="62"/>
      <c r="T205" s="62"/>
      <c r="U205" s="62"/>
    </row>
    <row r="206" spans="3:21" ht="15.75" customHeight="1">
      <c r="C206" s="62"/>
      <c r="D206" s="62"/>
      <c r="E206" s="62"/>
      <c r="G206" s="62"/>
      <c r="H206" s="62"/>
      <c r="I206" s="62"/>
      <c r="L206" s="62"/>
      <c r="Q206" s="62"/>
      <c r="R206" s="62"/>
      <c r="T206" s="62"/>
      <c r="U206" s="62"/>
    </row>
    <row r="207" spans="3:21" ht="15.75" customHeight="1">
      <c r="C207" s="62"/>
      <c r="D207" s="62"/>
      <c r="E207" s="62"/>
      <c r="G207" s="62"/>
      <c r="H207" s="62"/>
      <c r="I207" s="62"/>
      <c r="L207" s="62"/>
      <c r="Q207" s="62"/>
      <c r="R207" s="62"/>
      <c r="T207" s="62"/>
      <c r="U207" s="62"/>
    </row>
    <row r="208" spans="3:21" ht="15.75" customHeight="1">
      <c r="C208" s="62"/>
      <c r="D208" s="62"/>
      <c r="E208" s="62"/>
      <c r="G208" s="62"/>
      <c r="H208" s="62"/>
      <c r="I208" s="62"/>
      <c r="L208" s="62"/>
      <c r="Q208" s="62"/>
      <c r="R208" s="62"/>
      <c r="T208" s="62"/>
      <c r="U208" s="62"/>
    </row>
    <row r="209" spans="3:21" ht="15.75" customHeight="1">
      <c r="C209" s="62"/>
      <c r="D209" s="62"/>
      <c r="E209" s="62"/>
      <c r="G209" s="62"/>
      <c r="H209" s="62"/>
      <c r="I209" s="62"/>
      <c r="L209" s="62"/>
      <c r="Q209" s="62"/>
      <c r="R209" s="62"/>
      <c r="T209" s="62"/>
      <c r="U209" s="62"/>
    </row>
    <row r="210" spans="3:21" ht="15.75" customHeight="1">
      <c r="C210" s="62"/>
      <c r="D210" s="62"/>
      <c r="E210" s="62"/>
      <c r="G210" s="62"/>
      <c r="H210" s="62"/>
      <c r="I210" s="62"/>
      <c r="L210" s="62"/>
      <c r="Q210" s="62"/>
      <c r="R210" s="62"/>
      <c r="T210" s="62"/>
      <c r="U210" s="62"/>
    </row>
    <row r="211" spans="3:21" ht="15.75" customHeight="1">
      <c r="C211" s="62"/>
      <c r="D211" s="62"/>
      <c r="E211" s="62"/>
      <c r="G211" s="62"/>
      <c r="H211" s="62"/>
      <c r="I211" s="62"/>
      <c r="L211" s="62"/>
      <c r="Q211" s="62"/>
      <c r="R211" s="62"/>
      <c r="T211" s="62"/>
      <c r="U211" s="62"/>
    </row>
    <row r="212" spans="3:21" ht="15.75" customHeight="1">
      <c r="C212" s="62"/>
      <c r="D212" s="62"/>
      <c r="E212" s="62"/>
      <c r="G212" s="62"/>
      <c r="H212" s="62"/>
      <c r="I212" s="62"/>
      <c r="L212" s="62"/>
      <c r="Q212" s="62"/>
      <c r="R212" s="62"/>
      <c r="T212" s="62"/>
      <c r="U212" s="62"/>
    </row>
    <row r="213" spans="3:21" ht="15.75" customHeight="1">
      <c r="C213" s="62"/>
      <c r="D213" s="62"/>
      <c r="E213" s="62"/>
      <c r="G213" s="62"/>
      <c r="H213" s="62"/>
      <c r="I213" s="62"/>
      <c r="L213" s="62"/>
      <c r="Q213" s="62"/>
      <c r="R213" s="62"/>
      <c r="T213" s="62"/>
      <c r="U213" s="62"/>
    </row>
    <row r="214" spans="3:21" ht="15.75" customHeight="1">
      <c r="C214" s="62"/>
      <c r="D214" s="62"/>
      <c r="E214" s="62"/>
      <c r="G214" s="62"/>
      <c r="H214" s="62"/>
      <c r="I214" s="62"/>
      <c r="L214" s="62"/>
      <c r="Q214" s="62"/>
      <c r="R214" s="62"/>
      <c r="T214" s="62"/>
      <c r="U214" s="62"/>
    </row>
    <row r="215" spans="3:21" ht="15.75" customHeight="1">
      <c r="C215" s="62"/>
      <c r="D215" s="62"/>
      <c r="E215" s="62"/>
      <c r="G215" s="62"/>
      <c r="H215" s="62"/>
      <c r="I215" s="62"/>
      <c r="L215" s="62"/>
      <c r="Q215" s="62"/>
      <c r="R215" s="62"/>
      <c r="T215" s="62"/>
      <c r="U215" s="62"/>
    </row>
    <row r="216" spans="3:21" ht="15.75" customHeight="1">
      <c r="C216" s="62"/>
      <c r="D216" s="62"/>
      <c r="E216" s="62"/>
      <c r="G216" s="62"/>
      <c r="H216" s="62"/>
      <c r="I216" s="62"/>
      <c r="L216" s="62"/>
      <c r="Q216" s="62"/>
      <c r="R216" s="62"/>
      <c r="T216" s="62"/>
      <c r="U216" s="62"/>
    </row>
    <row r="217" spans="3:21" ht="15.75" customHeight="1">
      <c r="C217" s="62"/>
      <c r="D217" s="62"/>
      <c r="E217" s="62"/>
      <c r="G217" s="62"/>
      <c r="H217" s="62"/>
      <c r="I217" s="62"/>
      <c r="L217" s="62"/>
      <c r="Q217" s="62"/>
      <c r="R217" s="62"/>
      <c r="T217" s="62"/>
      <c r="U217" s="62"/>
    </row>
    <row r="218" spans="3:21" ht="15.75" customHeight="1">
      <c r="C218" s="62"/>
      <c r="D218" s="62"/>
      <c r="E218" s="62"/>
      <c r="G218" s="62"/>
      <c r="H218" s="62"/>
      <c r="I218" s="62"/>
      <c r="L218" s="62"/>
      <c r="Q218" s="62"/>
      <c r="R218" s="62"/>
      <c r="T218" s="62"/>
      <c r="U218" s="62"/>
    </row>
    <row r="219" spans="3:21" ht="15.75" customHeight="1">
      <c r="C219" s="62"/>
      <c r="D219" s="62"/>
      <c r="E219" s="62"/>
      <c r="G219" s="62"/>
      <c r="H219" s="62"/>
      <c r="I219" s="62"/>
      <c r="L219" s="62"/>
      <c r="Q219" s="62"/>
      <c r="R219" s="62"/>
      <c r="T219" s="62"/>
      <c r="U219" s="62"/>
    </row>
    <row r="220" spans="3:21" ht="15.75" customHeight="1">
      <c r="C220" s="62"/>
      <c r="D220" s="62"/>
      <c r="E220" s="62"/>
      <c r="G220" s="62"/>
      <c r="H220" s="62"/>
      <c r="I220" s="62"/>
      <c r="L220" s="62"/>
      <c r="Q220" s="62"/>
      <c r="R220" s="62"/>
      <c r="T220" s="62"/>
      <c r="U220" s="62"/>
    </row>
    <row r="221" spans="3:21" ht="15.75" customHeight="1">
      <c r="C221" s="62"/>
      <c r="D221" s="62"/>
      <c r="E221" s="62"/>
      <c r="G221" s="62"/>
      <c r="H221" s="62"/>
      <c r="I221" s="62"/>
      <c r="L221" s="62"/>
      <c r="Q221" s="62"/>
      <c r="R221" s="62"/>
      <c r="T221" s="62"/>
      <c r="U221" s="62"/>
    </row>
    <row r="222" spans="3:21" ht="15.75" customHeight="1">
      <c r="C222" s="62"/>
      <c r="D222" s="62"/>
      <c r="E222" s="62"/>
      <c r="G222" s="62"/>
      <c r="H222" s="62"/>
      <c r="I222" s="62"/>
      <c r="L222" s="62"/>
      <c r="Q222" s="62"/>
      <c r="R222" s="62"/>
      <c r="T222" s="62"/>
      <c r="U222" s="62"/>
    </row>
    <row r="223" spans="3:21" ht="15.75" customHeight="1">
      <c r="C223" s="62"/>
      <c r="D223" s="62"/>
      <c r="E223" s="62"/>
      <c r="G223" s="62"/>
      <c r="H223" s="62"/>
      <c r="I223" s="62"/>
      <c r="L223" s="62"/>
      <c r="Q223" s="62"/>
      <c r="R223" s="62"/>
      <c r="T223" s="62"/>
      <c r="U223" s="62"/>
    </row>
    <row r="224" spans="3:21" ht="15.75" customHeight="1">
      <c r="C224" s="62"/>
      <c r="D224" s="62"/>
      <c r="E224" s="62"/>
      <c r="G224" s="62"/>
      <c r="H224" s="62"/>
      <c r="I224" s="62"/>
      <c r="L224" s="62"/>
      <c r="Q224" s="62"/>
      <c r="R224" s="62"/>
      <c r="T224" s="62"/>
      <c r="U224" s="62"/>
    </row>
    <row r="225" spans="3:21" ht="15.75" customHeight="1">
      <c r="C225" s="62"/>
      <c r="D225" s="62"/>
      <c r="E225" s="62"/>
      <c r="G225" s="62"/>
      <c r="H225" s="62"/>
      <c r="I225" s="62"/>
      <c r="L225" s="62"/>
      <c r="Q225" s="62"/>
      <c r="R225" s="62"/>
      <c r="T225" s="62"/>
      <c r="U225" s="62"/>
    </row>
    <row r="226" spans="3:21" ht="15.75" customHeight="1">
      <c r="C226" s="62"/>
      <c r="D226" s="62"/>
      <c r="E226" s="62"/>
      <c r="G226" s="62"/>
      <c r="H226" s="62"/>
      <c r="I226" s="62"/>
      <c r="L226" s="62"/>
      <c r="Q226" s="62"/>
      <c r="R226" s="62"/>
      <c r="T226" s="62"/>
      <c r="U226" s="62"/>
    </row>
    <row r="227" spans="3:21" ht="15.75" customHeight="1">
      <c r="C227" s="62"/>
      <c r="D227" s="62"/>
      <c r="E227" s="62"/>
      <c r="G227" s="62"/>
      <c r="H227" s="62"/>
      <c r="I227" s="62"/>
      <c r="L227" s="62"/>
      <c r="Q227" s="62"/>
      <c r="R227" s="62"/>
      <c r="T227" s="62"/>
      <c r="U227" s="62"/>
    </row>
    <row r="228" spans="3:21" ht="15.75" customHeight="1">
      <c r="C228" s="62"/>
      <c r="D228" s="62"/>
      <c r="E228" s="62"/>
      <c r="G228" s="62"/>
      <c r="H228" s="62"/>
      <c r="I228" s="62"/>
      <c r="L228" s="62"/>
      <c r="Q228" s="62"/>
      <c r="R228" s="62"/>
      <c r="T228" s="62"/>
      <c r="U228" s="62"/>
    </row>
    <row r="229" spans="3:21" ht="15.75" customHeight="1">
      <c r="C229" s="62"/>
      <c r="D229" s="62"/>
      <c r="E229" s="62"/>
      <c r="G229" s="62"/>
      <c r="H229" s="62"/>
      <c r="I229" s="62"/>
      <c r="L229" s="62"/>
      <c r="Q229" s="62"/>
      <c r="R229" s="62"/>
      <c r="T229" s="62"/>
      <c r="U229" s="62"/>
    </row>
    <row r="230" spans="3:21" ht="15.75" customHeight="1">
      <c r="C230" s="62"/>
      <c r="D230" s="62"/>
      <c r="E230" s="62"/>
      <c r="G230" s="62"/>
      <c r="H230" s="62"/>
      <c r="I230" s="62"/>
      <c r="L230" s="62"/>
      <c r="Q230" s="62"/>
      <c r="R230" s="62"/>
      <c r="T230" s="62"/>
      <c r="U230" s="62"/>
    </row>
    <row r="231" spans="3:21" ht="15.75" customHeight="1">
      <c r="C231" s="62"/>
      <c r="D231" s="62"/>
      <c r="E231" s="62"/>
      <c r="G231" s="62"/>
      <c r="H231" s="62"/>
      <c r="I231" s="62"/>
      <c r="L231" s="62"/>
      <c r="Q231" s="62"/>
      <c r="R231" s="62"/>
      <c r="T231" s="62"/>
      <c r="U231" s="62"/>
    </row>
    <row r="232" spans="3:21" ht="15.75" customHeight="1">
      <c r="C232" s="62"/>
      <c r="D232" s="62"/>
      <c r="E232" s="62"/>
      <c r="G232" s="62"/>
      <c r="H232" s="62"/>
      <c r="I232" s="62"/>
      <c r="L232" s="62"/>
      <c r="Q232" s="62"/>
      <c r="R232" s="62"/>
      <c r="T232" s="62"/>
      <c r="U232" s="62"/>
    </row>
    <row r="233" spans="3:21" ht="15.75" customHeight="1">
      <c r="C233" s="62"/>
      <c r="D233" s="62"/>
      <c r="E233" s="62"/>
      <c r="G233" s="62"/>
      <c r="H233" s="62"/>
      <c r="I233" s="62"/>
      <c r="L233" s="62"/>
      <c r="Q233" s="62"/>
      <c r="R233" s="62"/>
      <c r="T233" s="62"/>
      <c r="U233" s="62"/>
    </row>
    <row r="234" spans="3:21" ht="15.75" customHeight="1">
      <c r="C234" s="62"/>
      <c r="D234" s="62"/>
      <c r="E234" s="62"/>
      <c r="G234" s="62"/>
      <c r="H234" s="62"/>
      <c r="I234" s="62"/>
      <c r="L234" s="62"/>
      <c r="Q234" s="62"/>
      <c r="R234" s="62"/>
      <c r="T234" s="62"/>
      <c r="U234" s="62"/>
    </row>
    <row r="235" spans="3:21" ht="15.75" customHeight="1">
      <c r="C235" s="62"/>
      <c r="D235" s="62"/>
      <c r="E235" s="62"/>
      <c r="G235" s="62"/>
      <c r="H235" s="62"/>
      <c r="I235" s="62"/>
      <c r="L235" s="62"/>
      <c r="Q235" s="62"/>
      <c r="R235" s="62"/>
      <c r="T235" s="62"/>
      <c r="U235" s="62"/>
    </row>
    <row r="236" spans="3:21" ht="15.75" customHeight="1">
      <c r="C236" s="62"/>
      <c r="D236" s="62"/>
      <c r="E236" s="62"/>
      <c r="G236" s="62"/>
      <c r="H236" s="62"/>
      <c r="I236" s="62"/>
      <c r="L236" s="62"/>
      <c r="Q236" s="62"/>
      <c r="R236" s="62"/>
      <c r="T236" s="62"/>
      <c r="U236" s="62"/>
    </row>
    <row r="237" spans="3:21" ht="15.75" customHeight="1">
      <c r="C237" s="62"/>
      <c r="D237" s="62"/>
      <c r="E237" s="62"/>
      <c r="G237" s="62"/>
      <c r="H237" s="62"/>
      <c r="I237" s="62"/>
      <c r="L237" s="62"/>
      <c r="Q237" s="62"/>
      <c r="R237" s="62"/>
      <c r="T237" s="62"/>
      <c r="U237" s="62"/>
    </row>
    <row r="238" spans="3:21" ht="15.75" customHeight="1">
      <c r="C238" s="62"/>
      <c r="D238" s="62"/>
      <c r="E238" s="62"/>
      <c r="G238" s="62"/>
      <c r="H238" s="62"/>
      <c r="I238" s="62"/>
      <c r="L238" s="62"/>
      <c r="Q238" s="62"/>
      <c r="R238" s="62"/>
      <c r="T238" s="62"/>
      <c r="U238" s="62"/>
    </row>
    <row r="239" spans="3:21" ht="15.75" customHeight="1">
      <c r="C239" s="62"/>
      <c r="D239" s="62"/>
      <c r="E239" s="62"/>
      <c r="G239" s="62"/>
      <c r="H239" s="62"/>
      <c r="I239" s="62"/>
      <c r="L239" s="62"/>
      <c r="Q239" s="62"/>
      <c r="R239" s="62"/>
      <c r="T239" s="62"/>
      <c r="U239" s="62"/>
    </row>
    <row r="240" spans="3:21" ht="15.75" customHeight="1">
      <c r="C240" s="62"/>
      <c r="D240" s="62"/>
      <c r="E240" s="62"/>
      <c r="G240" s="62"/>
      <c r="H240" s="62"/>
      <c r="I240" s="62"/>
      <c r="L240" s="62"/>
      <c r="Q240" s="62"/>
      <c r="R240" s="62"/>
      <c r="T240" s="62"/>
      <c r="U240" s="62"/>
    </row>
    <row r="241" spans="3:21" ht="15.75" customHeight="1">
      <c r="C241" s="62"/>
      <c r="D241" s="62"/>
      <c r="E241" s="62"/>
      <c r="G241" s="62"/>
      <c r="H241" s="62"/>
      <c r="I241" s="62"/>
      <c r="L241" s="62"/>
      <c r="Q241" s="62"/>
      <c r="R241" s="62"/>
      <c r="T241" s="62"/>
      <c r="U241" s="62"/>
    </row>
    <row r="242" spans="3:21" ht="15.75" customHeight="1">
      <c r="C242" s="62"/>
      <c r="D242" s="62"/>
      <c r="E242" s="62"/>
      <c r="G242" s="62"/>
      <c r="H242" s="62"/>
      <c r="I242" s="62"/>
      <c r="L242" s="62"/>
      <c r="Q242" s="62"/>
      <c r="R242" s="62"/>
      <c r="T242" s="62"/>
      <c r="U242" s="62"/>
    </row>
    <row r="243" spans="3:21" ht="15.75" customHeight="1">
      <c r="C243" s="62"/>
      <c r="D243" s="62"/>
      <c r="E243" s="62"/>
      <c r="G243" s="62"/>
      <c r="H243" s="62"/>
      <c r="I243" s="62"/>
      <c r="L243" s="62"/>
      <c r="Q243" s="62"/>
      <c r="R243" s="62"/>
      <c r="T243" s="62"/>
      <c r="U243" s="62"/>
    </row>
    <row r="244" spans="3:21" ht="15.75" customHeight="1">
      <c r="C244" s="62"/>
      <c r="D244" s="62"/>
      <c r="E244" s="62"/>
      <c r="G244" s="62"/>
      <c r="H244" s="62"/>
      <c r="I244" s="62"/>
      <c r="L244" s="62"/>
      <c r="Q244" s="62"/>
      <c r="R244" s="62"/>
      <c r="T244" s="62"/>
      <c r="U244" s="62"/>
    </row>
    <row r="245" spans="3:21" ht="15.75" customHeight="1">
      <c r="C245" s="62"/>
      <c r="D245" s="62"/>
      <c r="E245" s="62"/>
      <c r="G245" s="62"/>
      <c r="H245" s="62"/>
      <c r="I245" s="62"/>
      <c r="L245" s="62"/>
      <c r="Q245" s="62"/>
      <c r="R245" s="62"/>
      <c r="T245" s="62"/>
      <c r="U245" s="62"/>
    </row>
    <row r="246" spans="3:21" ht="15.75" customHeight="1">
      <c r="C246" s="62"/>
      <c r="D246" s="62"/>
      <c r="E246" s="62"/>
      <c r="G246" s="62"/>
      <c r="H246" s="62"/>
      <c r="I246" s="62"/>
      <c r="L246" s="62"/>
      <c r="Q246" s="62"/>
      <c r="R246" s="62"/>
      <c r="T246" s="62"/>
      <c r="U246" s="62"/>
    </row>
    <row r="247" spans="3:21" ht="15.75" customHeight="1">
      <c r="C247" s="62"/>
      <c r="D247" s="62"/>
      <c r="E247" s="62"/>
      <c r="G247" s="62"/>
      <c r="H247" s="62"/>
      <c r="I247" s="62"/>
      <c r="L247" s="62"/>
      <c r="Q247" s="62"/>
      <c r="R247" s="62"/>
      <c r="T247" s="62"/>
      <c r="U247" s="62"/>
    </row>
    <row r="248" spans="3:21" ht="15.75" customHeight="1">
      <c r="C248" s="62"/>
      <c r="D248" s="62"/>
      <c r="E248" s="62"/>
      <c r="G248" s="62"/>
      <c r="H248" s="62"/>
      <c r="I248" s="62"/>
      <c r="L248" s="62"/>
      <c r="Q248" s="62"/>
      <c r="R248" s="62"/>
      <c r="T248" s="62"/>
      <c r="U248" s="62"/>
    </row>
    <row r="249" spans="3:21" ht="15.75" customHeight="1">
      <c r="C249" s="62"/>
      <c r="D249" s="62"/>
      <c r="E249" s="62"/>
      <c r="G249" s="62"/>
      <c r="H249" s="62"/>
      <c r="I249" s="62"/>
      <c r="L249" s="62"/>
      <c r="Q249" s="62"/>
      <c r="R249" s="62"/>
      <c r="T249" s="62"/>
      <c r="U249" s="62"/>
    </row>
    <row r="250" spans="3:21" ht="15.75" customHeight="1">
      <c r="C250" s="62"/>
      <c r="D250" s="62"/>
      <c r="E250" s="62"/>
      <c r="G250" s="62"/>
      <c r="H250" s="62"/>
      <c r="I250" s="62"/>
      <c r="L250" s="62"/>
      <c r="Q250" s="62"/>
      <c r="R250" s="62"/>
      <c r="T250" s="62"/>
      <c r="U250" s="62"/>
    </row>
    <row r="251" spans="3:21" ht="15.75" customHeight="1">
      <c r="C251" s="62"/>
      <c r="D251" s="62"/>
      <c r="E251" s="62"/>
      <c r="G251" s="62"/>
      <c r="H251" s="62"/>
      <c r="I251" s="62"/>
      <c r="L251" s="62"/>
      <c r="Q251" s="62"/>
      <c r="R251" s="62"/>
      <c r="T251" s="62"/>
      <c r="U251" s="62"/>
    </row>
    <row r="252" spans="3:21" ht="15.75" customHeight="1">
      <c r="C252" s="62"/>
      <c r="D252" s="62"/>
      <c r="E252" s="62"/>
      <c r="G252" s="62"/>
      <c r="H252" s="62"/>
      <c r="I252" s="62"/>
      <c r="L252" s="62"/>
      <c r="Q252" s="62"/>
      <c r="R252" s="62"/>
      <c r="T252" s="62"/>
      <c r="U252" s="62"/>
    </row>
    <row r="253" spans="3:21" ht="15.75" customHeight="1">
      <c r="C253" s="62"/>
      <c r="D253" s="62"/>
      <c r="E253" s="62"/>
      <c r="G253" s="62"/>
      <c r="H253" s="62"/>
      <c r="I253" s="62"/>
      <c r="L253" s="62"/>
      <c r="Q253" s="62"/>
      <c r="R253" s="62"/>
      <c r="T253" s="62"/>
      <c r="U253" s="62"/>
    </row>
    <row r="254" spans="3:21" ht="15.75" customHeight="1">
      <c r="C254" s="62"/>
      <c r="D254" s="62"/>
      <c r="E254" s="62"/>
      <c r="G254" s="62"/>
      <c r="H254" s="62"/>
      <c r="I254" s="62"/>
      <c r="L254" s="62"/>
      <c r="Q254" s="62"/>
      <c r="R254" s="62"/>
      <c r="T254" s="62"/>
      <c r="U254" s="62"/>
    </row>
    <row r="255" spans="3:21" ht="15.75" customHeight="1">
      <c r="C255" s="62"/>
      <c r="D255" s="62"/>
      <c r="E255" s="62"/>
      <c r="G255" s="62"/>
      <c r="H255" s="62"/>
      <c r="I255" s="62"/>
      <c r="L255" s="62"/>
      <c r="Q255" s="62"/>
      <c r="R255" s="62"/>
      <c r="T255" s="62"/>
      <c r="U255" s="62"/>
    </row>
    <row r="256" spans="3:21" ht="15.75" customHeight="1">
      <c r="C256" s="62"/>
      <c r="D256" s="62"/>
      <c r="E256" s="62"/>
      <c r="G256" s="62"/>
      <c r="H256" s="62"/>
      <c r="I256" s="62"/>
      <c r="L256" s="62"/>
      <c r="Q256" s="62"/>
      <c r="R256" s="62"/>
      <c r="T256" s="62"/>
      <c r="U256" s="62"/>
    </row>
    <row r="257" spans="3:21" ht="15.75" customHeight="1">
      <c r="C257" s="62"/>
      <c r="D257" s="62"/>
      <c r="E257" s="62"/>
      <c r="G257" s="62"/>
      <c r="H257" s="62"/>
      <c r="I257" s="62"/>
      <c r="L257" s="62"/>
      <c r="Q257" s="62"/>
      <c r="R257" s="62"/>
      <c r="T257" s="62"/>
      <c r="U257" s="62"/>
    </row>
    <row r="258" spans="3:21" ht="15.75" customHeight="1">
      <c r="C258" s="62"/>
      <c r="D258" s="62"/>
      <c r="E258" s="62"/>
      <c r="G258" s="62"/>
      <c r="H258" s="62"/>
      <c r="I258" s="62"/>
      <c r="L258" s="62"/>
      <c r="Q258" s="62"/>
      <c r="R258" s="62"/>
      <c r="T258" s="62"/>
      <c r="U258" s="62"/>
    </row>
    <row r="259" spans="3:21" ht="15.75" customHeight="1">
      <c r="C259" s="62"/>
      <c r="D259" s="62"/>
      <c r="E259" s="62"/>
      <c r="G259" s="62"/>
      <c r="H259" s="62"/>
      <c r="I259" s="62"/>
      <c r="L259" s="62"/>
      <c r="Q259" s="62"/>
      <c r="R259" s="62"/>
      <c r="T259" s="62"/>
      <c r="U259" s="62"/>
    </row>
    <row r="260" spans="3:21" ht="15.75" customHeight="1">
      <c r="C260" s="62"/>
      <c r="D260" s="62"/>
      <c r="E260" s="62"/>
      <c r="G260" s="62"/>
      <c r="H260" s="62"/>
      <c r="I260" s="62"/>
      <c r="L260" s="62"/>
      <c r="Q260" s="62"/>
      <c r="R260" s="62"/>
      <c r="T260" s="62"/>
      <c r="U260" s="62"/>
    </row>
    <row r="261" spans="3:21" ht="15.75" customHeight="1">
      <c r="C261" s="62"/>
      <c r="D261" s="62"/>
      <c r="E261" s="62"/>
      <c r="G261" s="62"/>
      <c r="H261" s="62"/>
      <c r="I261" s="62"/>
      <c r="L261" s="62"/>
      <c r="Q261" s="62"/>
      <c r="R261" s="62"/>
      <c r="T261" s="62"/>
      <c r="U261" s="62"/>
    </row>
    <row r="262" spans="3:21" ht="15.75" customHeight="1">
      <c r="C262" s="62"/>
      <c r="D262" s="62"/>
      <c r="E262" s="62"/>
      <c r="G262" s="62"/>
      <c r="H262" s="62"/>
      <c r="I262" s="62"/>
      <c r="L262" s="62"/>
      <c r="Q262" s="62"/>
      <c r="R262" s="62"/>
      <c r="T262" s="62"/>
      <c r="U262" s="62"/>
    </row>
    <row r="263" spans="3:21" ht="15.75" customHeight="1">
      <c r="C263" s="62"/>
      <c r="D263" s="62"/>
      <c r="E263" s="62"/>
      <c r="G263" s="62"/>
      <c r="H263" s="62"/>
      <c r="I263" s="62"/>
      <c r="L263" s="62"/>
      <c r="Q263" s="62"/>
      <c r="R263" s="62"/>
      <c r="T263" s="62"/>
      <c r="U263" s="62"/>
    </row>
    <row r="264" spans="3:21" ht="15.75" customHeight="1">
      <c r="C264" s="62"/>
      <c r="D264" s="62"/>
      <c r="E264" s="62"/>
      <c r="G264" s="62"/>
      <c r="H264" s="62"/>
      <c r="I264" s="62"/>
      <c r="L264" s="62"/>
      <c r="Q264" s="62"/>
      <c r="R264" s="62"/>
      <c r="T264" s="62"/>
      <c r="U264" s="62"/>
    </row>
    <row r="265" spans="3:21" ht="15.75" customHeight="1">
      <c r="C265" s="62"/>
      <c r="D265" s="62"/>
      <c r="E265" s="62"/>
      <c r="G265" s="62"/>
      <c r="H265" s="62"/>
      <c r="I265" s="62"/>
      <c r="L265" s="62"/>
      <c r="Q265" s="62"/>
      <c r="R265" s="62"/>
      <c r="T265" s="62"/>
      <c r="U265" s="62"/>
    </row>
    <row r="266" spans="3:21" ht="15.75" customHeight="1">
      <c r="C266" s="62"/>
      <c r="D266" s="62"/>
      <c r="E266" s="62"/>
      <c r="G266" s="62"/>
      <c r="H266" s="62"/>
      <c r="I266" s="62"/>
      <c r="L266" s="62"/>
      <c r="Q266" s="62"/>
      <c r="R266" s="62"/>
      <c r="T266" s="62"/>
      <c r="U266" s="62"/>
    </row>
    <row r="267" spans="3:21" ht="15.75" customHeight="1">
      <c r="C267" s="62"/>
      <c r="D267" s="62"/>
      <c r="E267" s="62"/>
      <c r="G267" s="62"/>
      <c r="H267" s="62"/>
      <c r="I267" s="62"/>
      <c r="L267" s="62"/>
      <c r="Q267" s="62"/>
      <c r="R267" s="62"/>
      <c r="T267" s="62"/>
      <c r="U267" s="62"/>
    </row>
    <row r="268" spans="3:21" ht="15.75" customHeight="1">
      <c r="C268" s="62"/>
      <c r="D268" s="62"/>
      <c r="E268" s="62"/>
      <c r="G268" s="62"/>
      <c r="H268" s="62"/>
      <c r="I268" s="62"/>
      <c r="L268" s="62"/>
      <c r="Q268" s="62"/>
      <c r="R268" s="62"/>
      <c r="T268" s="62"/>
      <c r="U268" s="62"/>
    </row>
    <row r="269" spans="3:21" ht="15.75" customHeight="1">
      <c r="C269" s="62"/>
      <c r="D269" s="62"/>
      <c r="E269" s="62"/>
      <c r="G269" s="62"/>
      <c r="H269" s="62"/>
      <c r="I269" s="62"/>
      <c r="L269" s="62"/>
      <c r="Q269" s="62"/>
      <c r="R269" s="62"/>
      <c r="T269" s="62"/>
      <c r="U269" s="62"/>
    </row>
    <row r="270" spans="3:21" ht="15.75" customHeight="1">
      <c r="C270" s="62"/>
      <c r="D270" s="62"/>
      <c r="E270" s="62"/>
      <c r="G270" s="62"/>
      <c r="H270" s="62"/>
      <c r="I270" s="62"/>
      <c r="L270" s="62"/>
      <c r="Q270" s="62"/>
      <c r="R270" s="62"/>
      <c r="T270" s="62"/>
      <c r="U270" s="62"/>
    </row>
    <row r="271" spans="3:21" ht="15.75" customHeight="1">
      <c r="C271" s="62"/>
      <c r="D271" s="62"/>
      <c r="E271" s="62"/>
      <c r="G271" s="62"/>
      <c r="H271" s="62"/>
      <c r="I271" s="62"/>
      <c r="L271" s="62"/>
      <c r="Q271" s="62"/>
      <c r="R271" s="62"/>
      <c r="T271" s="62"/>
      <c r="U271" s="62"/>
    </row>
    <row r="272" spans="3:21" ht="15.75" customHeight="1">
      <c r="C272" s="62"/>
      <c r="D272" s="62"/>
      <c r="E272" s="62"/>
      <c r="G272" s="62"/>
      <c r="H272" s="62"/>
      <c r="I272" s="62"/>
      <c r="L272" s="62"/>
      <c r="Q272" s="62"/>
      <c r="R272" s="62"/>
      <c r="T272" s="62"/>
      <c r="U272" s="62"/>
    </row>
    <row r="273" spans="3:21" ht="15.75" customHeight="1">
      <c r="C273" s="62"/>
      <c r="D273" s="62"/>
      <c r="E273" s="62"/>
      <c r="G273" s="62"/>
      <c r="H273" s="62"/>
      <c r="I273" s="62"/>
      <c r="L273" s="62"/>
      <c r="Q273" s="62"/>
      <c r="R273" s="62"/>
      <c r="T273" s="62"/>
      <c r="U273" s="62"/>
    </row>
    <row r="274" spans="3:21" ht="15.75" customHeight="1">
      <c r="C274" s="62"/>
      <c r="D274" s="62"/>
      <c r="E274" s="62"/>
      <c r="G274" s="62"/>
      <c r="H274" s="62"/>
      <c r="I274" s="62"/>
      <c r="L274" s="62"/>
      <c r="Q274" s="62"/>
      <c r="R274" s="62"/>
      <c r="T274" s="62"/>
      <c r="U274" s="62"/>
    </row>
    <row r="275" spans="3:21" ht="15.75" customHeight="1">
      <c r="C275" s="62"/>
      <c r="D275" s="62"/>
      <c r="E275" s="62"/>
      <c r="G275" s="62"/>
      <c r="H275" s="62"/>
      <c r="I275" s="62"/>
      <c r="L275" s="62"/>
      <c r="Q275" s="62"/>
      <c r="R275" s="62"/>
      <c r="T275" s="62"/>
      <c r="U275" s="62"/>
    </row>
    <row r="276" spans="3:21" ht="15.75" customHeight="1">
      <c r="C276" s="62"/>
      <c r="D276" s="62"/>
      <c r="E276" s="62"/>
      <c r="G276" s="62"/>
      <c r="H276" s="62"/>
      <c r="I276" s="62"/>
      <c r="L276" s="62"/>
      <c r="Q276" s="62"/>
      <c r="R276" s="62"/>
      <c r="T276" s="62"/>
      <c r="U276" s="62"/>
    </row>
    <row r="277" spans="3:21" ht="15.75" customHeight="1">
      <c r="C277" s="62"/>
      <c r="D277" s="62"/>
      <c r="E277" s="62"/>
      <c r="G277" s="62"/>
      <c r="H277" s="62"/>
      <c r="I277" s="62"/>
      <c r="L277" s="62"/>
      <c r="Q277" s="62"/>
      <c r="R277" s="62"/>
      <c r="T277" s="62"/>
      <c r="U277" s="62"/>
    </row>
    <row r="278" spans="3:21" ht="15.75" customHeight="1">
      <c r="C278" s="62"/>
      <c r="D278" s="62"/>
      <c r="E278" s="62"/>
      <c r="G278" s="62"/>
      <c r="H278" s="62"/>
      <c r="I278" s="62"/>
      <c r="L278" s="62"/>
      <c r="Q278" s="62"/>
      <c r="R278" s="62"/>
      <c r="T278" s="62"/>
      <c r="U278" s="62"/>
    </row>
    <row r="279" spans="3:21" ht="15.75" customHeight="1">
      <c r="C279" s="62"/>
      <c r="D279" s="62"/>
      <c r="E279" s="62"/>
      <c r="G279" s="62"/>
      <c r="H279" s="62"/>
      <c r="I279" s="62"/>
      <c r="L279" s="62"/>
      <c r="Q279" s="62"/>
      <c r="R279" s="62"/>
      <c r="T279" s="62"/>
      <c r="U279" s="62"/>
    </row>
    <row r="280" spans="3:21" ht="15.75" customHeight="1">
      <c r="C280" s="62"/>
      <c r="D280" s="62"/>
      <c r="E280" s="62"/>
      <c r="G280" s="62"/>
      <c r="H280" s="62"/>
      <c r="I280" s="62"/>
      <c r="L280" s="62"/>
      <c r="Q280" s="62"/>
      <c r="R280" s="62"/>
      <c r="T280" s="62"/>
      <c r="U280" s="62"/>
    </row>
    <row r="281" spans="3:21" ht="15.75" customHeight="1">
      <c r="C281" s="62"/>
      <c r="D281" s="62"/>
      <c r="E281" s="62"/>
      <c r="G281" s="62"/>
      <c r="H281" s="62"/>
      <c r="I281" s="62"/>
      <c r="L281" s="62"/>
      <c r="Q281" s="62"/>
      <c r="R281" s="62"/>
      <c r="T281" s="62"/>
      <c r="U281" s="62"/>
    </row>
    <row r="282" spans="3:21" ht="15.75" customHeight="1">
      <c r="C282" s="62"/>
      <c r="D282" s="62"/>
      <c r="E282" s="62"/>
      <c r="G282" s="62"/>
      <c r="H282" s="62"/>
      <c r="I282" s="62"/>
      <c r="L282" s="62"/>
      <c r="Q282" s="62"/>
      <c r="R282" s="62"/>
      <c r="T282" s="62"/>
      <c r="U282" s="62"/>
    </row>
    <row r="283" spans="3:21" ht="15.75" customHeight="1">
      <c r="C283" s="62"/>
      <c r="D283" s="62"/>
      <c r="E283" s="62"/>
      <c r="G283" s="62"/>
      <c r="H283" s="62"/>
      <c r="I283" s="62"/>
      <c r="L283" s="62"/>
      <c r="Q283" s="62"/>
      <c r="R283" s="62"/>
      <c r="T283" s="62"/>
      <c r="U283" s="62"/>
    </row>
    <row r="284" spans="3:21" ht="15.75" customHeight="1">
      <c r="C284" s="62"/>
      <c r="D284" s="62"/>
      <c r="E284" s="62"/>
      <c r="G284" s="62"/>
      <c r="H284" s="62"/>
      <c r="I284" s="62"/>
      <c r="L284" s="62"/>
      <c r="Q284" s="62"/>
      <c r="R284" s="62"/>
      <c r="T284" s="62"/>
      <c r="U284" s="62"/>
    </row>
    <row r="285" spans="3:21" ht="15.75" customHeight="1">
      <c r="C285" s="62"/>
      <c r="D285" s="62"/>
      <c r="E285" s="62"/>
      <c r="G285" s="62"/>
      <c r="H285" s="62"/>
      <c r="I285" s="62"/>
      <c r="L285" s="62"/>
      <c r="Q285" s="62"/>
      <c r="R285" s="62"/>
      <c r="T285" s="62"/>
      <c r="U285" s="62"/>
    </row>
    <row r="286" spans="3:21" ht="15.75" customHeight="1">
      <c r="C286" s="62"/>
      <c r="D286" s="62"/>
      <c r="E286" s="62"/>
      <c r="G286" s="62"/>
      <c r="H286" s="62"/>
      <c r="I286" s="62"/>
      <c r="L286" s="62"/>
      <c r="Q286" s="62"/>
      <c r="R286" s="62"/>
      <c r="T286" s="62"/>
      <c r="U286" s="62"/>
    </row>
    <row r="287" spans="3:21" ht="15.75" customHeight="1">
      <c r="C287" s="62"/>
      <c r="D287" s="62"/>
      <c r="E287" s="62"/>
      <c r="G287" s="62"/>
      <c r="H287" s="62"/>
      <c r="I287" s="62"/>
      <c r="L287" s="62"/>
      <c r="Q287" s="62"/>
      <c r="R287" s="62"/>
      <c r="T287" s="62"/>
      <c r="U287" s="62"/>
    </row>
    <row r="288" spans="3:21" ht="15.75" customHeight="1">
      <c r="C288" s="62"/>
      <c r="D288" s="62"/>
      <c r="E288" s="62"/>
      <c r="G288" s="62"/>
      <c r="H288" s="62"/>
      <c r="I288" s="62"/>
      <c r="L288" s="62"/>
      <c r="Q288" s="62"/>
      <c r="R288" s="62"/>
      <c r="T288" s="62"/>
      <c r="U288" s="62"/>
    </row>
    <row r="289" spans="3:21" ht="15.75" customHeight="1">
      <c r="C289" s="62"/>
      <c r="D289" s="62"/>
      <c r="E289" s="62"/>
      <c r="G289" s="62"/>
      <c r="H289" s="62"/>
      <c r="I289" s="62"/>
      <c r="L289" s="62"/>
      <c r="Q289" s="62"/>
      <c r="R289" s="62"/>
      <c r="T289" s="62"/>
      <c r="U289" s="62"/>
    </row>
    <row r="290" spans="3:21" ht="15.75" customHeight="1">
      <c r="C290" s="62"/>
      <c r="D290" s="62"/>
      <c r="E290" s="62"/>
      <c r="G290" s="62"/>
      <c r="H290" s="62"/>
      <c r="I290" s="62"/>
      <c r="L290" s="62"/>
      <c r="Q290" s="62"/>
      <c r="R290" s="62"/>
      <c r="T290" s="62"/>
      <c r="U290" s="62"/>
    </row>
    <row r="291" spans="3:21" ht="15.75" customHeight="1">
      <c r="C291" s="62"/>
      <c r="D291" s="62"/>
      <c r="E291" s="62"/>
      <c r="G291" s="62"/>
      <c r="H291" s="62"/>
      <c r="I291" s="62"/>
      <c r="L291" s="62"/>
      <c r="Q291" s="62"/>
      <c r="R291" s="62"/>
      <c r="T291" s="62"/>
      <c r="U291" s="62"/>
    </row>
    <row r="292" spans="3:21" ht="15.75" customHeight="1">
      <c r="C292" s="62"/>
      <c r="D292" s="62"/>
      <c r="E292" s="62"/>
      <c r="G292" s="62"/>
      <c r="H292" s="62"/>
      <c r="I292" s="62"/>
      <c r="L292" s="62"/>
      <c r="Q292" s="62"/>
      <c r="R292" s="62"/>
      <c r="T292" s="62"/>
      <c r="U292" s="62"/>
    </row>
    <row r="293" spans="3:21" ht="15.75" customHeight="1">
      <c r="C293" s="62"/>
      <c r="D293" s="62"/>
      <c r="E293" s="62"/>
      <c r="G293" s="62"/>
      <c r="H293" s="62"/>
      <c r="I293" s="62"/>
      <c r="L293" s="62"/>
      <c r="Q293" s="62"/>
      <c r="R293" s="62"/>
      <c r="T293" s="62"/>
      <c r="U293" s="62"/>
    </row>
    <row r="294" spans="3:21" ht="15.75" customHeight="1">
      <c r="C294" s="62"/>
      <c r="D294" s="62"/>
      <c r="E294" s="62"/>
      <c r="G294" s="62"/>
      <c r="H294" s="62"/>
      <c r="I294" s="62"/>
      <c r="L294" s="62"/>
      <c r="Q294" s="62"/>
      <c r="R294" s="62"/>
      <c r="T294" s="62"/>
      <c r="U294" s="62"/>
    </row>
    <row r="295" spans="3:21" ht="15.75" customHeight="1">
      <c r="C295" s="62"/>
      <c r="D295" s="62"/>
      <c r="E295" s="62"/>
      <c r="G295" s="62"/>
      <c r="H295" s="62"/>
      <c r="I295" s="62"/>
      <c r="L295" s="62"/>
      <c r="Q295" s="62"/>
      <c r="R295" s="62"/>
      <c r="T295" s="62"/>
      <c r="U295" s="62"/>
    </row>
    <row r="296" spans="3:21" ht="15.75" customHeight="1">
      <c r="C296" s="62"/>
      <c r="D296" s="62"/>
      <c r="E296" s="62"/>
      <c r="G296" s="62"/>
      <c r="H296" s="62"/>
      <c r="I296" s="62"/>
      <c r="L296" s="62"/>
      <c r="Q296" s="62"/>
      <c r="R296" s="62"/>
      <c r="T296" s="62"/>
      <c r="U296" s="62"/>
    </row>
    <row r="297" spans="3:21" ht="15.75" customHeight="1">
      <c r="C297" s="62"/>
      <c r="D297" s="62"/>
      <c r="E297" s="62"/>
      <c r="G297" s="62"/>
      <c r="H297" s="62"/>
      <c r="I297" s="62"/>
      <c r="L297" s="62"/>
      <c r="Q297" s="62"/>
      <c r="R297" s="62"/>
      <c r="T297" s="62"/>
      <c r="U297" s="62"/>
    </row>
    <row r="298" spans="3:21" ht="15.75" customHeight="1">
      <c r="C298" s="62"/>
      <c r="D298" s="62"/>
      <c r="E298" s="62"/>
      <c r="G298" s="62"/>
      <c r="H298" s="62"/>
      <c r="I298" s="62"/>
      <c r="L298" s="62"/>
      <c r="Q298" s="62"/>
      <c r="R298" s="62"/>
      <c r="T298" s="62"/>
      <c r="U298" s="62"/>
    </row>
    <row r="299" spans="3:21" ht="15.75" customHeight="1">
      <c r="C299" s="62"/>
      <c r="D299" s="62"/>
      <c r="E299" s="62"/>
      <c r="G299" s="62"/>
      <c r="H299" s="62"/>
      <c r="I299" s="62"/>
      <c r="L299" s="62"/>
      <c r="Q299" s="62"/>
      <c r="R299" s="62"/>
      <c r="T299" s="62"/>
      <c r="U299" s="62"/>
    </row>
    <row r="300" spans="3:21" ht="15.75" customHeight="1">
      <c r="C300" s="62"/>
      <c r="D300" s="62"/>
      <c r="E300" s="62"/>
      <c r="G300" s="62"/>
      <c r="H300" s="62"/>
      <c r="I300" s="62"/>
      <c r="L300" s="62"/>
      <c r="Q300" s="62"/>
      <c r="R300" s="62"/>
      <c r="T300" s="62"/>
      <c r="U300" s="62"/>
    </row>
    <row r="301" spans="3:21" ht="15.75" customHeight="1">
      <c r="C301" s="62"/>
      <c r="D301" s="62"/>
      <c r="E301" s="62"/>
      <c r="G301" s="62"/>
      <c r="H301" s="62"/>
      <c r="I301" s="62"/>
      <c r="L301" s="62"/>
      <c r="Q301" s="62"/>
      <c r="R301" s="62"/>
      <c r="T301" s="62"/>
      <c r="U301" s="62"/>
    </row>
    <row r="302" spans="3:21" ht="15.75" customHeight="1">
      <c r="C302" s="62"/>
      <c r="D302" s="62"/>
      <c r="E302" s="62"/>
      <c r="G302" s="62"/>
      <c r="H302" s="62"/>
      <c r="I302" s="62"/>
      <c r="L302" s="62"/>
      <c r="Q302" s="62"/>
      <c r="R302" s="62"/>
      <c r="T302" s="62"/>
      <c r="U302" s="62"/>
    </row>
    <row r="303" spans="3:21" ht="15.75" customHeight="1">
      <c r="C303" s="62"/>
      <c r="D303" s="62"/>
      <c r="E303" s="62"/>
      <c r="G303" s="62"/>
      <c r="H303" s="62"/>
      <c r="I303" s="62"/>
      <c r="L303" s="62"/>
      <c r="Q303" s="62"/>
      <c r="R303" s="62"/>
      <c r="T303" s="62"/>
      <c r="U303" s="62"/>
    </row>
    <row r="304" spans="3:21" ht="15.75" customHeight="1">
      <c r="C304" s="62"/>
      <c r="D304" s="62"/>
      <c r="E304" s="62"/>
      <c r="G304" s="62"/>
      <c r="H304" s="62"/>
      <c r="I304" s="62"/>
      <c r="L304" s="62"/>
      <c r="Q304" s="62"/>
      <c r="R304" s="62"/>
      <c r="T304" s="62"/>
      <c r="U304" s="62"/>
    </row>
    <row r="305" spans="3:21" ht="15.75" customHeight="1">
      <c r="C305" s="62"/>
      <c r="D305" s="62"/>
      <c r="E305" s="62"/>
      <c r="G305" s="62"/>
      <c r="H305" s="62"/>
      <c r="I305" s="62"/>
      <c r="L305" s="62"/>
      <c r="Q305" s="62"/>
      <c r="R305" s="62"/>
      <c r="T305" s="62"/>
      <c r="U305" s="62"/>
    </row>
    <row r="306" spans="3:21" ht="15.75" customHeight="1">
      <c r="C306" s="62"/>
      <c r="D306" s="62"/>
      <c r="E306" s="62"/>
      <c r="G306" s="62"/>
      <c r="H306" s="62"/>
      <c r="I306" s="62"/>
      <c r="L306" s="62"/>
      <c r="Q306" s="62"/>
      <c r="R306" s="62"/>
      <c r="T306" s="62"/>
      <c r="U306" s="62"/>
    </row>
    <row r="307" spans="3:21" ht="15.75" customHeight="1">
      <c r="C307" s="62"/>
      <c r="D307" s="62"/>
      <c r="E307" s="62"/>
      <c r="G307" s="62"/>
      <c r="H307" s="62"/>
      <c r="I307" s="62"/>
      <c r="L307" s="62"/>
      <c r="Q307" s="62"/>
      <c r="R307" s="62"/>
      <c r="T307" s="62"/>
      <c r="U307" s="62"/>
    </row>
    <row r="308" spans="3:21" ht="15.75" customHeight="1">
      <c r="C308" s="62"/>
      <c r="D308" s="62"/>
      <c r="E308" s="62"/>
      <c r="G308" s="62"/>
      <c r="H308" s="62"/>
      <c r="I308" s="62"/>
      <c r="L308" s="62"/>
      <c r="Q308" s="62"/>
      <c r="R308" s="62"/>
      <c r="T308" s="62"/>
      <c r="U308" s="62"/>
    </row>
    <row r="309" spans="3:21" ht="15.75" customHeight="1">
      <c r="C309" s="62"/>
      <c r="D309" s="62"/>
      <c r="E309" s="62"/>
      <c r="G309" s="62"/>
      <c r="H309" s="62"/>
      <c r="I309" s="62"/>
      <c r="L309" s="62"/>
      <c r="Q309" s="62"/>
      <c r="R309" s="62"/>
      <c r="T309" s="62"/>
      <c r="U309" s="62"/>
    </row>
    <row r="310" spans="3:21" ht="15.75" customHeight="1">
      <c r="C310" s="62"/>
      <c r="D310" s="62"/>
      <c r="E310" s="62"/>
      <c r="G310" s="62"/>
      <c r="H310" s="62"/>
      <c r="I310" s="62"/>
      <c r="L310" s="62"/>
      <c r="Q310" s="62"/>
      <c r="R310" s="62"/>
      <c r="T310" s="62"/>
      <c r="U310" s="62"/>
    </row>
    <row r="311" spans="3:21" ht="15.75" customHeight="1">
      <c r="C311" s="62"/>
      <c r="D311" s="62"/>
      <c r="E311" s="62"/>
      <c r="G311" s="62"/>
      <c r="H311" s="62"/>
      <c r="I311" s="62"/>
      <c r="L311" s="62"/>
      <c r="Q311" s="62"/>
      <c r="R311" s="62"/>
      <c r="T311" s="62"/>
      <c r="U311" s="62"/>
    </row>
    <row r="312" spans="3:21" ht="15.75" customHeight="1">
      <c r="C312" s="62"/>
      <c r="D312" s="62"/>
      <c r="E312" s="62"/>
      <c r="G312" s="62"/>
      <c r="H312" s="62"/>
      <c r="I312" s="62"/>
      <c r="L312" s="62"/>
      <c r="Q312" s="62"/>
      <c r="R312" s="62"/>
      <c r="T312" s="62"/>
      <c r="U312" s="62"/>
    </row>
    <row r="313" spans="3:21" ht="15.75" customHeight="1">
      <c r="C313" s="62"/>
      <c r="D313" s="62"/>
      <c r="E313" s="62"/>
      <c r="G313" s="62"/>
      <c r="H313" s="62"/>
      <c r="I313" s="62"/>
      <c r="L313" s="62"/>
      <c r="Q313" s="62"/>
      <c r="R313" s="62"/>
      <c r="T313" s="62"/>
      <c r="U313" s="62"/>
    </row>
    <row r="314" spans="3:21" ht="15.75" customHeight="1">
      <c r="C314" s="62"/>
      <c r="D314" s="62"/>
      <c r="E314" s="62"/>
      <c r="G314" s="62"/>
      <c r="H314" s="62"/>
      <c r="I314" s="62"/>
      <c r="L314" s="62"/>
      <c r="Q314" s="62"/>
      <c r="R314" s="62"/>
      <c r="T314" s="62"/>
      <c r="U314" s="62"/>
    </row>
    <row r="315" spans="3:21" ht="15.75" customHeight="1">
      <c r="C315" s="62"/>
      <c r="D315" s="62"/>
      <c r="E315" s="62"/>
      <c r="G315" s="62"/>
      <c r="H315" s="62"/>
      <c r="I315" s="62"/>
      <c r="L315" s="62"/>
      <c r="Q315" s="62"/>
      <c r="R315" s="62"/>
      <c r="T315" s="62"/>
      <c r="U315" s="62"/>
    </row>
    <row r="316" spans="3:21" ht="15.75" customHeight="1">
      <c r="C316" s="62"/>
      <c r="D316" s="62"/>
      <c r="E316" s="62"/>
      <c r="G316" s="62"/>
      <c r="H316" s="62"/>
      <c r="I316" s="62"/>
      <c r="L316" s="62"/>
      <c r="Q316" s="62"/>
      <c r="R316" s="62"/>
      <c r="T316" s="62"/>
      <c r="U316" s="62"/>
    </row>
    <row r="317" spans="3:21" ht="15.75" customHeight="1">
      <c r="C317" s="62"/>
      <c r="D317" s="62"/>
      <c r="E317" s="62"/>
      <c r="G317" s="62"/>
      <c r="H317" s="62"/>
      <c r="I317" s="62"/>
      <c r="L317" s="62"/>
      <c r="Q317" s="62"/>
      <c r="R317" s="62"/>
      <c r="T317" s="62"/>
      <c r="U317" s="62"/>
    </row>
    <row r="318" spans="3:21" ht="15.75" customHeight="1">
      <c r="C318" s="62"/>
      <c r="D318" s="62"/>
      <c r="E318" s="62"/>
      <c r="G318" s="62"/>
      <c r="H318" s="62"/>
      <c r="I318" s="62"/>
      <c r="L318" s="62"/>
      <c r="Q318" s="62"/>
      <c r="R318" s="62"/>
      <c r="T318" s="62"/>
      <c r="U318" s="62"/>
    </row>
    <row r="319" spans="3:21" ht="15.75" customHeight="1">
      <c r="C319" s="62"/>
      <c r="D319" s="62"/>
      <c r="E319" s="62"/>
      <c r="G319" s="62"/>
      <c r="H319" s="62"/>
      <c r="I319" s="62"/>
      <c r="L319" s="62"/>
      <c r="Q319" s="62"/>
      <c r="R319" s="62"/>
      <c r="T319" s="62"/>
      <c r="U319" s="62"/>
    </row>
    <row r="320" spans="3:21" ht="15.75" customHeight="1">
      <c r="C320" s="62"/>
      <c r="D320" s="62"/>
      <c r="E320" s="62"/>
      <c r="G320" s="62"/>
      <c r="H320" s="62"/>
      <c r="I320" s="62"/>
      <c r="L320" s="62"/>
      <c r="Q320" s="62"/>
      <c r="R320" s="62"/>
      <c r="T320" s="62"/>
      <c r="U320" s="62"/>
    </row>
    <row r="321" spans="3:21" ht="15.75" customHeight="1">
      <c r="C321" s="62"/>
      <c r="D321" s="62"/>
      <c r="E321" s="62"/>
      <c r="G321" s="62"/>
      <c r="H321" s="62"/>
      <c r="I321" s="62"/>
      <c r="L321" s="62"/>
      <c r="Q321" s="62"/>
      <c r="R321" s="62"/>
      <c r="T321" s="62"/>
      <c r="U321" s="62"/>
    </row>
    <row r="322" spans="3:21" ht="15.75" customHeight="1">
      <c r="C322" s="62"/>
      <c r="D322" s="62"/>
      <c r="E322" s="62"/>
      <c r="G322" s="62"/>
      <c r="H322" s="62"/>
      <c r="I322" s="62"/>
      <c r="L322" s="62"/>
      <c r="Q322" s="62"/>
      <c r="R322" s="62"/>
      <c r="T322" s="62"/>
      <c r="U322" s="62"/>
    </row>
    <row r="323" spans="3:21" ht="15.75" customHeight="1">
      <c r="C323" s="62"/>
      <c r="D323" s="62"/>
      <c r="E323" s="62"/>
      <c r="G323" s="62"/>
      <c r="H323" s="62"/>
      <c r="I323" s="62"/>
      <c r="L323" s="62"/>
      <c r="Q323" s="62"/>
      <c r="R323" s="62"/>
      <c r="T323" s="62"/>
      <c r="U323" s="62"/>
    </row>
    <row r="324" spans="3:21" ht="15.75" customHeight="1">
      <c r="C324" s="62"/>
      <c r="D324" s="62"/>
      <c r="E324" s="62"/>
      <c r="G324" s="62"/>
      <c r="H324" s="62"/>
      <c r="I324" s="62"/>
      <c r="L324" s="62"/>
      <c r="Q324" s="62"/>
      <c r="R324" s="62"/>
      <c r="T324" s="62"/>
      <c r="U324" s="62"/>
    </row>
    <row r="325" spans="3:21" ht="15.75" customHeight="1">
      <c r="C325" s="62"/>
      <c r="D325" s="62"/>
      <c r="E325" s="62"/>
      <c r="G325" s="62"/>
      <c r="H325" s="62"/>
      <c r="I325" s="62"/>
      <c r="L325" s="62"/>
      <c r="Q325" s="62"/>
      <c r="R325" s="62"/>
      <c r="T325" s="62"/>
      <c r="U325" s="62"/>
    </row>
    <row r="326" spans="3:21" ht="15.75" customHeight="1">
      <c r="C326" s="62"/>
      <c r="D326" s="62"/>
      <c r="E326" s="62"/>
      <c r="G326" s="62"/>
      <c r="H326" s="62"/>
      <c r="I326" s="62"/>
      <c r="L326" s="62"/>
      <c r="Q326" s="62"/>
      <c r="R326" s="62"/>
      <c r="T326" s="62"/>
      <c r="U326" s="62"/>
    </row>
    <row r="327" spans="3:21" ht="15.75" customHeight="1">
      <c r="C327" s="62"/>
      <c r="D327" s="62"/>
      <c r="E327" s="62"/>
      <c r="G327" s="62"/>
      <c r="H327" s="62"/>
      <c r="I327" s="62"/>
      <c r="L327" s="62"/>
      <c r="Q327" s="62"/>
      <c r="R327" s="62"/>
      <c r="T327" s="62"/>
      <c r="U327" s="62"/>
    </row>
    <row r="328" spans="3:21" ht="15.75" customHeight="1">
      <c r="C328" s="62"/>
      <c r="D328" s="62"/>
      <c r="E328" s="62"/>
      <c r="G328" s="62"/>
      <c r="H328" s="62"/>
      <c r="I328" s="62"/>
      <c r="L328" s="62"/>
      <c r="Q328" s="62"/>
      <c r="R328" s="62"/>
      <c r="T328" s="62"/>
      <c r="U328" s="62"/>
    </row>
    <row r="329" spans="3:21" ht="15.75" customHeight="1">
      <c r="C329" s="62"/>
      <c r="D329" s="62"/>
      <c r="E329" s="62"/>
      <c r="G329" s="62"/>
      <c r="H329" s="62"/>
      <c r="I329" s="62"/>
      <c r="L329" s="62"/>
      <c r="Q329" s="62"/>
      <c r="R329" s="62"/>
      <c r="T329" s="62"/>
      <c r="U329" s="62"/>
    </row>
    <row r="330" spans="3:21" ht="15.75" customHeight="1">
      <c r="C330" s="62"/>
      <c r="D330" s="62"/>
      <c r="E330" s="62"/>
      <c r="G330" s="62"/>
      <c r="H330" s="62"/>
      <c r="I330" s="62"/>
      <c r="L330" s="62"/>
      <c r="Q330" s="62"/>
      <c r="R330" s="62"/>
      <c r="T330" s="62"/>
      <c r="U330" s="62"/>
    </row>
    <row r="331" spans="3:21" ht="15.75" customHeight="1">
      <c r="C331" s="62"/>
      <c r="D331" s="62"/>
      <c r="E331" s="62"/>
      <c r="G331" s="62"/>
      <c r="H331" s="62"/>
      <c r="I331" s="62"/>
      <c r="L331" s="62"/>
      <c r="Q331" s="62"/>
      <c r="R331" s="62"/>
      <c r="T331" s="62"/>
      <c r="U331" s="62"/>
    </row>
    <row r="332" spans="3:21" ht="15.75" customHeight="1">
      <c r="C332" s="62"/>
      <c r="D332" s="62"/>
      <c r="E332" s="62"/>
      <c r="G332" s="62"/>
      <c r="H332" s="62"/>
      <c r="I332" s="62"/>
      <c r="L332" s="62"/>
      <c r="Q332" s="62"/>
      <c r="R332" s="62"/>
      <c r="T332" s="62"/>
      <c r="U332" s="62"/>
    </row>
    <row r="333" spans="3:21" ht="15.75" customHeight="1">
      <c r="C333" s="62"/>
      <c r="D333" s="62"/>
      <c r="E333" s="62"/>
      <c r="G333" s="62"/>
      <c r="H333" s="62"/>
      <c r="I333" s="62"/>
      <c r="L333" s="62"/>
      <c r="Q333" s="62"/>
      <c r="R333" s="62"/>
      <c r="T333" s="62"/>
      <c r="U333" s="62"/>
    </row>
    <row r="334" spans="3:21" ht="15.75" customHeight="1">
      <c r="C334" s="62"/>
      <c r="D334" s="62"/>
      <c r="E334" s="62"/>
      <c r="G334" s="62"/>
      <c r="H334" s="62"/>
      <c r="I334" s="62"/>
      <c r="L334" s="62"/>
      <c r="Q334" s="62"/>
      <c r="R334" s="62"/>
      <c r="T334" s="62"/>
      <c r="U334" s="62"/>
    </row>
    <row r="335" spans="3:21" ht="15.75" customHeight="1">
      <c r="C335" s="62"/>
      <c r="D335" s="62"/>
      <c r="E335" s="62"/>
      <c r="G335" s="62"/>
      <c r="H335" s="62"/>
      <c r="I335" s="62"/>
      <c r="L335" s="62"/>
      <c r="Q335" s="62"/>
      <c r="R335" s="62"/>
      <c r="T335" s="62"/>
      <c r="U335" s="62"/>
    </row>
    <row r="336" spans="3:21" ht="15.75" customHeight="1">
      <c r="C336" s="62"/>
      <c r="D336" s="62"/>
      <c r="E336" s="62"/>
      <c r="G336" s="62"/>
      <c r="H336" s="62"/>
      <c r="I336" s="62"/>
      <c r="L336" s="62"/>
      <c r="Q336" s="62"/>
      <c r="R336" s="62"/>
      <c r="T336" s="62"/>
      <c r="U336" s="62"/>
    </row>
    <row r="337" spans="3:21" ht="15.75" customHeight="1">
      <c r="C337" s="62"/>
      <c r="D337" s="62"/>
      <c r="E337" s="62"/>
      <c r="G337" s="62"/>
      <c r="H337" s="62"/>
      <c r="I337" s="62"/>
      <c r="L337" s="62"/>
      <c r="Q337" s="62"/>
      <c r="R337" s="62"/>
      <c r="T337" s="62"/>
      <c r="U337" s="62"/>
    </row>
    <row r="338" spans="3:21" ht="15.75" customHeight="1">
      <c r="C338" s="62"/>
      <c r="D338" s="62"/>
      <c r="E338" s="62"/>
      <c r="G338" s="62"/>
      <c r="H338" s="62"/>
      <c r="I338" s="62"/>
      <c r="L338" s="62"/>
      <c r="Q338" s="62"/>
      <c r="R338" s="62"/>
      <c r="T338" s="62"/>
      <c r="U338" s="62"/>
    </row>
    <row r="339" spans="3:21" ht="15.75" customHeight="1">
      <c r="C339" s="62"/>
      <c r="D339" s="62"/>
      <c r="E339" s="62"/>
      <c r="G339" s="62"/>
      <c r="H339" s="62"/>
      <c r="I339" s="62"/>
      <c r="L339" s="62"/>
      <c r="Q339" s="62"/>
      <c r="R339" s="62"/>
      <c r="T339" s="62"/>
      <c r="U339" s="62"/>
    </row>
    <row r="340" spans="3:21" ht="15.75" customHeight="1">
      <c r="C340" s="62"/>
      <c r="D340" s="62"/>
      <c r="E340" s="62"/>
      <c r="G340" s="62"/>
      <c r="H340" s="62"/>
      <c r="I340" s="62"/>
      <c r="L340" s="62"/>
      <c r="Q340" s="62"/>
      <c r="R340" s="62"/>
      <c r="T340" s="62"/>
      <c r="U340" s="62"/>
    </row>
    <row r="341" spans="3:21" ht="15.75" customHeight="1">
      <c r="C341" s="62"/>
      <c r="D341" s="62"/>
      <c r="E341" s="62"/>
      <c r="G341" s="62"/>
      <c r="H341" s="62"/>
      <c r="I341" s="62"/>
      <c r="L341" s="62"/>
      <c r="Q341" s="62"/>
      <c r="R341" s="62"/>
      <c r="T341" s="62"/>
      <c r="U341" s="62"/>
    </row>
    <row r="342" spans="3:21" ht="15.75" customHeight="1">
      <c r="C342" s="62"/>
      <c r="D342" s="62"/>
      <c r="E342" s="62"/>
      <c r="G342" s="62"/>
      <c r="H342" s="62"/>
      <c r="I342" s="62"/>
      <c r="L342" s="62"/>
      <c r="Q342" s="62"/>
      <c r="R342" s="62"/>
      <c r="T342" s="62"/>
      <c r="U342" s="62"/>
    </row>
    <row r="343" spans="3:21" ht="15.75" customHeight="1">
      <c r="C343" s="62"/>
      <c r="D343" s="62"/>
      <c r="E343" s="62"/>
      <c r="G343" s="62"/>
      <c r="H343" s="62"/>
      <c r="I343" s="62"/>
      <c r="L343" s="62"/>
      <c r="Q343" s="62"/>
      <c r="R343" s="62"/>
      <c r="T343" s="62"/>
      <c r="U343" s="62"/>
    </row>
    <row r="344" spans="3:21" ht="15.75" customHeight="1">
      <c r="C344" s="62"/>
      <c r="D344" s="62"/>
      <c r="E344" s="62"/>
      <c r="G344" s="62"/>
      <c r="H344" s="62"/>
      <c r="I344" s="62"/>
      <c r="L344" s="62"/>
      <c r="Q344" s="62"/>
      <c r="R344" s="62"/>
      <c r="T344" s="62"/>
      <c r="U344" s="62"/>
    </row>
    <row r="345" spans="3:21" ht="15.75" customHeight="1">
      <c r="C345" s="62"/>
      <c r="D345" s="62"/>
      <c r="E345" s="62"/>
      <c r="G345" s="62"/>
      <c r="H345" s="62"/>
      <c r="I345" s="62"/>
      <c r="L345" s="62"/>
      <c r="Q345" s="62"/>
      <c r="R345" s="62"/>
      <c r="T345" s="62"/>
      <c r="U345" s="62"/>
    </row>
    <row r="346" spans="3:21" ht="15.75" customHeight="1">
      <c r="C346" s="62"/>
      <c r="D346" s="62"/>
      <c r="E346" s="62"/>
      <c r="G346" s="62"/>
      <c r="H346" s="62"/>
      <c r="I346" s="62"/>
      <c r="L346" s="62"/>
      <c r="Q346" s="62"/>
      <c r="R346" s="62"/>
      <c r="T346" s="62"/>
      <c r="U346" s="62"/>
    </row>
    <row r="347" spans="3:21" ht="15.75" customHeight="1">
      <c r="C347" s="62"/>
      <c r="D347" s="62"/>
      <c r="E347" s="62"/>
      <c r="G347" s="62"/>
      <c r="H347" s="62"/>
      <c r="I347" s="62"/>
      <c r="L347" s="62"/>
      <c r="Q347" s="62"/>
      <c r="R347" s="62"/>
      <c r="T347" s="62"/>
      <c r="U347" s="62"/>
    </row>
    <row r="348" spans="3:21" ht="15.75" customHeight="1">
      <c r="C348" s="62"/>
      <c r="D348" s="62"/>
      <c r="E348" s="62"/>
      <c r="G348" s="62"/>
      <c r="H348" s="62"/>
      <c r="I348" s="62"/>
      <c r="L348" s="62"/>
      <c r="Q348" s="62"/>
      <c r="R348" s="62"/>
      <c r="T348" s="62"/>
      <c r="U348" s="62"/>
    </row>
    <row r="349" spans="3:21" ht="15.75" customHeight="1">
      <c r="C349" s="62"/>
      <c r="D349" s="62"/>
      <c r="E349" s="62"/>
      <c r="G349" s="62"/>
      <c r="H349" s="62"/>
      <c r="I349" s="62"/>
      <c r="L349" s="62"/>
      <c r="Q349" s="62"/>
      <c r="R349" s="62"/>
      <c r="T349" s="62"/>
      <c r="U349" s="62"/>
    </row>
    <row r="350" spans="3:21" ht="15.75" customHeight="1">
      <c r="C350" s="62"/>
      <c r="D350" s="62"/>
      <c r="E350" s="62"/>
      <c r="G350" s="62"/>
      <c r="H350" s="62"/>
      <c r="I350" s="62"/>
      <c r="L350" s="62"/>
      <c r="Q350" s="62"/>
      <c r="R350" s="62"/>
      <c r="T350" s="62"/>
      <c r="U350" s="62"/>
    </row>
    <row r="351" spans="3:21" ht="15.75" customHeight="1">
      <c r="C351" s="62"/>
      <c r="D351" s="62"/>
      <c r="E351" s="62"/>
      <c r="G351" s="62"/>
      <c r="H351" s="62"/>
      <c r="I351" s="62"/>
      <c r="L351" s="62"/>
      <c r="Q351" s="62"/>
      <c r="R351" s="62"/>
      <c r="T351" s="62"/>
      <c r="U351" s="62"/>
    </row>
    <row r="352" spans="3:21" ht="15.75" customHeight="1">
      <c r="C352" s="62"/>
      <c r="D352" s="62"/>
      <c r="E352" s="62"/>
      <c r="G352" s="62"/>
      <c r="H352" s="62"/>
      <c r="I352" s="62"/>
      <c r="L352" s="62"/>
      <c r="Q352" s="62"/>
      <c r="R352" s="62"/>
      <c r="T352" s="62"/>
      <c r="U352" s="62"/>
    </row>
    <row r="353" spans="3:21" ht="15.75" customHeight="1">
      <c r="C353" s="62"/>
      <c r="D353" s="62"/>
      <c r="E353" s="62"/>
      <c r="G353" s="62"/>
      <c r="H353" s="62"/>
      <c r="I353" s="62"/>
      <c r="L353" s="62"/>
      <c r="Q353" s="62"/>
      <c r="R353" s="62"/>
      <c r="T353" s="62"/>
      <c r="U353" s="62"/>
    </row>
    <row r="354" spans="3:21" ht="15.75" customHeight="1">
      <c r="C354" s="62"/>
      <c r="D354" s="62"/>
      <c r="E354" s="62"/>
      <c r="G354" s="62"/>
      <c r="H354" s="62"/>
      <c r="I354" s="62"/>
      <c r="L354" s="62"/>
      <c r="Q354" s="62"/>
      <c r="R354" s="62"/>
      <c r="T354" s="62"/>
      <c r="U354" s="62"/>
    </row>
    <row r="355" spans="3:21" ht="15.75" customHeight="1">
      <c r="C355" s="62"/>
      <c r="D355" s="62"/>
      <c r="E355" s="62"/>
      <c r="G355" s="62"/>
      <c r="H355" s="62"/>
      <c r="I355" s="62"/>
      <c r="L355" s="62"/>
      <c r="Q355" s="62"/>
      <c r="R355" s="62"/>
      <c r="T355" s="62"/>
      <c r="U355" s="62"/>
    </row>
    <row r="356" spans="3:21" ht="15.75" customHeight="1">
      <c r="C356" s="62"/>
      <c r="D356" s="62"/>
      <c r="E356" s="62"/>
      <c r="G356" s="62"/>
      <c r="H356" s="62"/>
      <c r="I356" s="62"/>
      <c r="L356" s="62"/>
      <c r="Q356" s="62"/>
      <c r="R356" s="62"/>
      <c r="T356" s="62"/>
      <c r="U356" s="62"/>
    </row>
    <row r="357" spans="3:21" ht="15.75" customHeight="1">
      <c r="C357" s="62"/>
      <c r="D357" s="62"/>
      <c r="E357" s="62"/>
      <c r="G357" s="62"/>
      <c r="H357" s="62"/>
      <c r="I357" s="62"/>
      <c r="L357" s="62"/>
      <c r="Q357" s="62"/>
      <c r="R357" s="62"/>
      <c r="T357" s="62"/>
      <c r="U357" s="62"/>
    </row>
    <row r="358" spans="3:21" ht="15.75" customHeight="1">
      <c r="C358" s="62"/>
      <c r="D358" s="62"/>
      <c r="E358" s="62"/>
      <c r="G358" s="62"/>
      <c r="H358" s="62"/>
      <c r="I358" s="62"/>
      <c r="L358" s="62"/>
      <c r="Q358" s="62"/>
      <c r="R358" s="62"/>
      <c r="T358" s="62"/>
      <c r="U358" s="62"/>
    </row>
    <row r="359" spans="3:21" ht="15.75" customHeight="1">
      <c r="C359" s="62"/>
      <c r="D359" s="62"/>
      <c r="E359" s="62"/>
      <c r="G359" s="62"/>
      <c r="H359" s="62"/>
      <c r="I359" s="62"/>
      <c r="L359" s="62"/>
      <c r="Q359" s="62"/>
      <c r="R359" s="62"/>
      <c r="T359" s="62"/>
      <c r="U359" s="62"/>
    </row>
    <row r="360" spans="3:21" ht="15.75" customHeight="1">
      <c r="C360" s="62"/>
      <c r="D360" s="62"/>
      <c r="E360" s="62"/>
      <c r="G360" s="62"/>
      <c r="H360" s="62"/>
      <c r="I360" s="62"/>
      <c r="L360" s="62"/>
      <c r="Q360" s="62"/>
      <c r="R360" s="62"/>
      <c r="T360" s="62"/>
      <c r="U360" s="62"/>
    </row>
    <row r="361" spans="3:21" ht="15.75" customHeight="1">
      <c r="C361" s="62"/>
      <c r="D361" s="62"/>
      <c r="E361" s="62"/>
      <c r="G361" s="62"/>
      <c r="H361" s="62"/>
      <c r="I361" s="62"/>
      <c r="L361" s="62"/>
      <c r="Q361" s="62"/>
      <c r="R361" s="62"/>
      <c r="T361" s="62"/>
      <c r="U361" s="62"/>
    </row>
    <row r="362" spans="3:21" ht="15.75" customHeight="1">
      <c r="C362" s="62"/>
      <c r="D362" s="62"/>
      <c r="E362" s="62"/>
      <c r="G362" s="62"/>
      <c r="H362" s="62"/>
      <c r="I362" s="62"/>
      <c r="L362" s="62"/>
      <c r="Q362" s="62"/>
      <c r="R362" s="62"/>
      <c r="T362" s="62"/>
      <c r="U362" s="62"/>
    </row>
    <row r="363" spans="3:21" ht="15.75" customHeight="1">
      <c r="C363" s="62"/>
      <c r="D363" s="62"/>
      <c r="E363" s="62"/>
      <c r="G363" s="62"/>
      <c r="H363" s="62"/>
      <c r="I363" s="62"/>
      <c r="L363" s="62"/>
      <c r="Q363" s="62"/>
      <c r="R363" s="62"/>
      <c r="T363" s="62"/>
      <c r="U363" s="62"/>
    </row>
    <row r="364" spans="3:21" ht="15.75" customHeight="1">
      <c r="C364" s="62"/>
      <c r="D364" s="62"/>
      <c r="E364" s="62"/>
      <c r="G364" s="62"/>
      <c r="H364" s="62"/>
      <c r="I364" s="62"/>
      <c r="L364" s="62"/>
      <c r="Q364" s="62"/>
      <c r="R364" s="62"/>
      <c r="T364" s="62"/>
      <c r="U364" s="62"/>
    </row>
    <row r="365" spans="3:21" ht="15.75" customHeight="1">
      <c r="C365" s="62"/>
      <c r="D365" s="62"/>
      <c r="E365" s="62"/>
      <c r="G365" s="62"/>
      <c r="H365" s="62"/>
      <c r="I365" s="62"/>
      <c r="L365" s="62"/>
      <c r="Q365" s="62"/>
      <c r="R365" s="62"/>
      <c r="T365" s="62"/>
      <c r="U365" s="62"/>
    </row>
    <row r="366" spans="3:21" ht="15.75" customHeight="1">
      <c r="C366" s="62"/>
      <c r="D366" s="62"/>
      <c r="E366" s="62"/>
      <c r="G366" s="62"/>
      <c r="H366" s="62"/>
      <c r="I366" s="62"/>
      <c r="L366" s="62"/>
      <c r="Q366" s="62"/>
      <c r="R366" s="62"/>
      <c r="T366" s="62"/>
      <c r="U366" s="62"/>
    </row>
    <row r="367" spans="3:21" ht="15.75" customHeight="1">
      <c r="C367" s="62"/>
      <c r="D367" s="62"/>
      <c r="E367" s="62"/>
      <c r="G367" s="62"/>
      <c r="H367" s="62"/>
      <c r="I367" s="62"/>
      <c r="L367" s="62"/>
      <c r="Q367" s="62"/>
      <c r="R367" s="62"/>
      <c r="T367" s="62"/>
      <c r="U367" s="62"/>
    </row>
    <row r="368" spans="3:21" ht="15.75" customHeight="1">
      <c r="C368" s="62"/>
      <c r="D368" s="62"/>
      <c r="E368" s="62"/>
      <c r="G368" s="62"/>
      <c r="H368" s="62"/>
      <c r="I368" s="62"/>
      <c r="L368" s="62"/>
      <c r="Q368" s="62"/>
      <c r="R368" s="62"/>
      <c r="T368" s="62"/>
      <c r="U368" s="62"/>
    </row>
    <row r="369" spans="3:21" ht="15.75" customHeight="1">
      <c r="C369" s="62"/>
      <c r="D369" s="62"/>
      <c r="E369" s="62"/>
      <c r="G369" s="62"/>
      <c r="H369" s="62"/>
      <c r="I369" s="62"/>
      <c r="L369" s="62"/>
      <c r="Q369" s="62"/>
      <c r="R369" s="62"/>
      <c r="T369" s="62"/>
      <c r="U369" s="62"/>
    </row>
    <row r="370" spans="3:21" ht="15.75" customHeight="1">
      <c r="C370" s="62"/>
      <c r="D370" s="62"/>
      <c r="E370" s="62"/>
      <c r="G370" s="62"/>
      <c r="H370" s="62"/>
      <c r="I370" s="62"/>
      <c r="L370" s="62"/>
      <c r="Q370" s="62"/>
      <c r="R370" s="62"/>
      <c r="T370" s="62"/>
      <c r="U370" s="62"/>
    </row>
    <row r="371" spans="3:21" ht="15.75" customHeight="1">
      <c r="C371" s="62"/>
      <c r="D371" s="62"/>
      <c r="E371" s="62"/>
      <c r="G371" s="62"/>
      <c r="H371" s="62"/>
      <c r="I371" s="62"/>
      <c r="L371" s="62"/>
      <c r="Q371" s="62"/>
      <c r="R371" s="62"/>
      <c r="T371" s="62"/>
      <c r="U371" s="62"/>
    </row>
    <row r="372" spans="3:21" ht="15.75" customHeight="1">
      <c r="C372" s="62"/>
      <c r="D372" s="62"/>
      <c r="E372" s="62"/>
      <c r="G372" s="62"/>
      <c r="H372" s="62"/>
      <c r="I372" s="62"/>
      <c r="L372" s="62"/>
      <c r="Q372" s="62"/>
      <c r="R372" s="62"/>
      <c r="T372" s="62"/>
      <c r="U372" s="62"/>
    </row>
    <row r="373" spans="3:21" ht="15.75" customHeight="1">
      <c r="C373" s="62"/>
      <c r="D373" s="62"/>
      <c r="E373" s="62"/>
      <c r="G373" s="62"/>
      <c r="H373" s="62"/>
      <c r="I373" s="62"/>
      <c r="L373" s="62"/>
      <c r="Q373" s="62"/>
      <c r="R373" s="62"/>
      <c r="T373" s="62"/>
      <c r="U373" s="62"/>
    </row>
    <row r="374" spans="3:21" ht="15.75" customHeight="1">
      <c r="C374" s="62"/>
      <c r="D374" s="62"/>
      <c r="E374" s="62"/>
      <c r="G374" s="62"/>
      <c r="H374" s="62"/>
      <c r="I374" s="62"/>
      <c r="L374" s="62"/>
      <c r="Q374" s="62"/>
      <c r="R374" s="62"/>
      <c r="T374" s="62"/>
      <c r="U374" s="62"/>
    </row>
    <row r="375" spans="3:21" ht="15.75" customHeight="1">
      <c r="C375" s="62"/>
      <c r="D375" s="62"/>
      <c r="E375" s="62"/>
      <c r="G375" s="62"/>
      <c r="H375" s="62"/>
      <c r="I375" s="62"/>
      <c r="L375" s="62"/>
      <c r="Q375" s="62"/>
      <c r="R375" s="62"/>
      <c r="T375" s="62"/>
      <c r="U375" s="62"/>
    </row>
    <row r="376" spans="3:21" ht="15.75" customHeight="1">
      <c r="C376" s="62"/>
      <c r="D376" s="62"/>
      <c r="E376" s="62"/>
      <c r="G376" s="62"/>
      <c r="H376" s="62"/>
      <c r="I376" s="62"/>
      <c r="L376" s="62"/>
      <c r="Q376" s="62"/>
      <c r="R376" s="62"/>
      <c r="T376" s="62"/>
      <c r="U376" s="62"/>
    </row>
    <row r="377" spans="3:21" ht="15.75" customHeight="1">
      <c r="C377" s="62"/>
      <c r="D377" s="62"/>
      <c r="E377" s="62"/>
      <c r="G377" s="62"/>
      <c r="H377" s="62"/>
      <c r="I377" s="62"/>
      <c r="L377" s="62"/>
      <c r="Q377" s="62"/>
      <c r="R377" s="62"/>
      <c r="T377" s="62"/>
      <c r="U377" s="62"/>
    </row>
    <row r="378" spans="3:21" ht="15.75" customHeight="1">
      <c r="C378" s="62"/>
      <c r="D378" s="62"/>
      <c r="E378" s="62"/>
      <c r="G378" s="62"/>
      <c r="H378" s="62"/>
      <c r="I378" s="62"/>
      <c r="L378" s="62"/>
      <c r="Q378" s="62"/>
      <c r="R378" s="62"/>
      <c r="T378" s="62"/>
      <c r="U378" s="62"/>
    </row>
    <row r="379" spans="3:21" ht="15.75" customHeight="1">
      <c r="C379" s="62"/>
      <c r="D379" s="62"/>
      <c r="E379" s="62"/>
      <c r="G379" s="62"/>
      <c r="H379" s="62"/>
      <c r="I379" s="62"/>
      <c r="L379" s="62"/>
      <c r="Q379" s="62"/>
      <c r="R379" s="62"/>
      <c r="T379" s="62"/>
      <c r="U379" s="62"/>
    </row>
    <row r="380" spans="3:21" ht="15.75" customHeight="1">
      <c r="C380" s="62"/>
      <c r="D380" s="62"/>
      <c r="E380" s="62"/>
      <c r="G380" s="62"/>
      <c r="H380" s="62"/>
      <c r="I380" s="62"/>
      <c r="L380" s="62"/>
      <c r="Q380" s="62"/>
      <c r="R380" s="62"/>
      <c r="T380" s="62"/>
      <c r="U380" s="62"/>
    </row>
    <row r="381" spans="3:21" ht="15.75" customHeight="1">
      <c r="C381" s="62"/>
      <c r="D381" s="62"/>
      <c r="E381" s="62"/>
      <c r="G381" s="62"/>
      <c r="H381" s="62"/>
      <c r="I381" s="62"/>
      <c r="L381" s="62"/>
      <c r="Q381" s="62"/>
      <c r="R381" s="62"/>
      <c r="T381" s="62"/>
      <c r="U381" s="62"/>
    </row>
    <row r="382" spans="3:21" ht="15.75" customHeight="1">
      <c r="C382" s="62"/>
      <c r="D382" s="62"/>
      <c r="E382" s="62"/>
      <c r="G382" s="62"/>
      <c r="H382" s="62"/>
      <c r="I382" s="62"/>
      <c r="L382" s="62"/>
      <c r="Q382" s="62"/>
      <c r="R382" s="62"/>
      <c r="T382" s="62"/>
      <c r="U382" s="62"/>
    </row>
    <row r="383" spans="3:21" ht="15.75" customHeight="1">
      <c r="C383" s="62"/>
      <c r="D383" s="62"/>
      <c r="E383" s="62"/>
      <c r="G383" s="62"/>
      <c r="H383" s="62"/>
      <c r="I383" s="62"/>
      <c r="L383" s="62"/>
      <c r="Q383" s="62"/>
      <c r="R383" s="62"/>
      <c r="T383" s="62"/>
      <c r="U383" s="62"/>
    </row>
    <row r="384" spans="3:21" ht="15.75" customHeight="1">
      <c r="C384" s="62"/>
      <c r="D384" s="62"/>
      <c r="E384" s="62"/>
      <c r="G384" s="62"/>
      <c r="H384" s="62"/>
      <c r="I384" s="62"/>
      <c r="L384" s="62"/>
      <c r="Q384" s="62"/>
      <c r="R384" s="62"/>
      <c r="T384" s="62"/>
      <c r="U384" s="62"/>
    </row>
    <row r="385" spans="3:21" ht="15.75" customHeight="1">
      <c r="C385" s="62"/>
      <c r="D385" s="62"/>
      <c r="E385" s="62"/>
      <c r="G385" s="62"/>
      <c r="H385" s="62"/>
      <c r="I385" s="62"/>
      <c r="L385" s="62"/>
      <c r="Q385" s="62"/>
      <c r="R385" s="62"/>
      <c r="T385" s="62"/>
      <c r="U385" s="62"/>
    </row>
    <row r="386" spans="3:21" ht="15.75" customHeight="1">
      <c r="C386" s="62"/>
      <c r="D386" s="62"/>
      <c r="E386" s="62"/>
      <c r="G386" s="62"/>
      <c r="H386" s="62"/>
      <c r="I386" s="62"/>
      <c r="L386" s="62"/>
      <c r="Q386" s="62"/>
      <c r="R386" s="62"/>
      <c r="T386" s="62"/>
      <c r="U386" s="62"/>
    </row>
    <row r="387" spans="3:21" ht="15.75" customHeight="1">
      <c r="C387" s="62"/>
      <c r="D387" s="62"/>
      <c r="E387" s="62"/>
      <c r="G387" s="62"/>
      <c r="H387" s="62"/>
      <c r="I387" s="62"/>
      <c r="L387" s="62"/>
      <c r="Q387" s="62"/>
      <c r="R387" s="62"/>
      <c r="T387" s="62"/>
      <c r="U387" s="62"/>
    </row>
    <row r="388" spans="3:21" ht="15.75" customHeight="1">
      <c r="C388" s="62"/>
      <c r="D388" s="62"/>
      <c r="E388" s="62"/>
      <c r="G388" s="62"/>
      <c r="H388" s="62"/>
      <c r="I388" s="62"/>
      <c r="L388" s="62"/>
      <c r="Q388" s="62"/>
      <c r="R388" s="62"/>
      <c r="T388" s="62"/>
      <c r="U388" s="62"/>
    </row>
    <row r="389" spans="3:21" ht="15.75" customHeight="1">
      <c r="C389" s="62"/>
      <c r="D389" s="62"/>
      <c r="E389" s="62"/>
      <c r="G389" s="62"/>
      <c r="H389" s="62"/>
      <c r="I389" s="62"/>
      <c r="L389" s="62"/>
      <c r="Q389" s="62"/>
      <c r="R389" s="62"/>
      <c r="T389" s="62"/>
      <c r="U389" s="62"/>
    </row>
    <row r="390" spans="3:21" ht="15.75" customHeight="1">
      <c r="C390" s="62"/>
      <c r="D390" s="62"/>
      <c r="E390" s="62"/>
      <c r="G390" s="62"/>
      <c r="H390" s="62"/>
      <c r="I390" s="62"/>
      <c r="L390" s="62"/>
      <c r="Q390" s="62"/>
      <c r="R390" s="62"/>
      <c r="T390" s="62"/>
      <c r="U390" s="62"/>
    </row>
    <row r="391" spans="3:21" ht="15.75" customHeight="1">
      <c r="C391" s="62"/>
      <c r="D391" s="62"/>
      <c r="E391" s="62"/>
      <c r="G391" s="62"/>
      <c r="H391" s="62"/>
      <c r="I391" s="62"/>
      <c r="L391" s="62"/>
      <c r="Q391" s="62"/>
      <c r="R391" s="62"/>
      <c r="T391" s="62"/>
      <c r="U391" s="62"/>
    </row>
    <row r="392" spans="3:21" ht="15.75" customHeight="1">
      <c r="C392" s="62"/>
      <c r="D392" s="62"/>
      <c r="E392" s="62"/>
      <c r="G392" s="62"/>
      <c r="H392" s="62"/>
      <c r="I392" s="62"/>
      <c r="L392" s="62"/>
      <c r="Q392" s="62"/>
      <c r="R392" s="62"/>
      <c r="T392" s="62"/>
      <c r="U392" s="62"/>
    </row>
    <row r="393" spans="3:21" ht="15.75" customHeight="1">
      <c r="C393" s="62"/>
      <c r="D393" s="62"/>
      <c r="E393" s="62"/>
      <c r="G393" s="62"/>
      <c r="H393" s="62"/>
      <c r="I393" s="62"/>
      <c r="L393" s="62"/>
      <c r="Q393" s="62"/>
      <c r="R393" s="62"/>
      <c r="T393" s="62"/>
      <c r="U393" s="62"/>
    </row>
    <row r="394" spans="3:21" ht="15.75" customHeight="1">
      <c r="C394" s="62"/>
      <c r="D394" s="62"/>
      <c r="E394" s="62"/>
      <c r="G394" s="62"/>
      <c r="H394" s="62"/>
      <c r="I394" s="62"/>
      <c r="L394" s="62"/>
      <c r="Q394" s="62"/>
      <c r="R394" s="62"/>
      <c r="T394" s="62"/>
      <c r="U394" s="62"/>
    </row>
    <row r="395" spans="3:21" ht="15.75" customHeight="1">
      <c r="C395" s="62"/>
      <c r="D395" s="62"/>
      <c r="E395" s="62"/>
      <c r="G395" s="62"/>
      <c r="H395" s="62"/>
      <c r="I395" s="62"/>
      <c r="L395" s="62"/>
      <c r="Q395" s="62"/>
      <c r="R395" s="62"/>
      <c r="T395" s="62"/>
      <c r="U395" s="62"/>
    </row>
    <row r="396" spans="3:21" ht="15.75" customHeight="1">
      <c r="C396" s="62"/>
      <c r="D396" s="62"/>
      <c r="E396" s="62"/>
      <c r="G396" s="62"/>
      <c r="H396" s="62"/>
      <c r="I396" s="62"/>
      <c r="L396" s="62"/>
      <c r="Q396" s="62"/>
      <c r="R396" s="62"/>
      <c r="T396" s="62"/>
      <c r="U396" s="62"/>
    </row>
    <row r="397" spans="3:21" ht="15.75" customHeight="1">
      <c r="C397" s="62"/>
      <c r="D397" s="62"/>
      <c r="E397" s="62"/>
      <c r="G397" s="62"/>
      <c r="H397" s="62"/>
      <c r="I397" s="62"/>
      <c r="L397" s="62"/>
      <c r="Q397" s="62"/>
      <c r="R397" s="62"/>
      <c r="T397" s="62"/>
      <c r="U397" s="62"/>
    </row>
    <row r="398" spans="3:21" ht="15.75" customHeight="1">
      <c r="C398" s="62"/>
      <c r="D398" s="62"/>
      <c r="E398" s="62"/>
      <c r="G398" s="62"/>
      <c r="H398" s="62"/>
      <c r="I398" s="62"/>
      <c r="L398" s="62"/>
      <c r="Q398" s="62"/>
      <c r="R398" s="62"/>
      <c r="T398" s="62"/>
      <c r="U398" s="62"/>
    </row>
    <row r="399" spans="3:21" ht="15.75" customHeight="1">
      <c r="C399" s="62"/>
      <c r="D399" s="62"/>
      <c r="E399" s="62"/>
      <c r="G399" s="62"/>
      <c r="H399" s="62"/>
      <c r="I399" s="62"/>
      <c r="L399" s="62"/>
      <c r="Q399" s="62"/>
      <c r="R399" s="62"/>
      <c r="T399" s="62"/>
      <c r="U399" s="62"/>
    </row>
    <row r="400" spans="3:21" ht="15.75" customHeight="1">
      <c r="C400" s="62"/>
      <c r="D400" s="62"/>
      <c r="E400" s="62"/>
      <c r="G400" s="62"/>
      <c r="H400" s="62"/>
      <c r="I400" s="62"/>
      <c r="L400" s="62"/>
      <c r="Q400" s="62"/>
      <c r="R400" s="62"/>
      <c r="T400" s="62"/>
      <c r="U400" s="62"/>
    </row>
    <row r="401" spans="3:21" ht="15.75" customHeight="1">
      <c r="C401" s="62"/>
      <c r="D401" s="62"/>
      <c r="E401" s="62"/>
      <c r="G401" s="62"/>
      <c r="H401" s="62"/>
      <c r="I401" s="62"/>
      <c r="L401" s="62"/>
      <c r="Q401" s="62"/>
      <c r="R401" s="62"/>
      <c r="T401" s="62"/>
      <c r="U401" s="62"/>
    </row>
    <row r="402" spans="3:21" ht="15.75" customHeight="1">
      <c r="C402" s="62"/>
      <c r="D402" s="62"/>
      <c r="E402" s="62"/>
      <c r="G402" s="62"/>
      <c r="H402" s="62"/>
      <c r="I402" s="62"/>
      <c r="L402" s="62"/>
      <c r="Q402" s="62"/>
      <c r="R402" s="62"/>
      <c r="T402" s="62"/>
      <c r="U402" s="62"/>
    </row>
    <row r="403" spans="3:21" ht="15.75" customHeight="1">
      <c r="C403" s="62"/>
      <c r="D403" s="62"/>
      <c r="E403" s="62"/>
      <c r="G403" s="62"/>
      <c r="H403" s="62"/>
      <c r="I403" s="62"/>
      <c r="L403" s="62"/>
      <c r="Q403" s="62"/>
      <c r="R403" s="62"/>
      <c r="T403" s="62"/>
      <c r="U403" s="62"/>
    </row>
    <row r="404" spans="3:21" ht="15.75" customHeight="1">
      <c r="C404" s="62"/>
      <c r="D404" s="62"/>
      <c r="E404" s="62"/>
      <c r="G404" s="62"/>
      <c r="H404" s="62"/>
      <c r="I404" s="62"/>
      <c r="L404" s="62"/>
      <c r="Q404" s="62"/>
      <c r="R404" s="62"/>
      <c r="T404" s="62"/>
      <c r="U404" s="62"/>
    </row>
    <row r="405" spans="3:21" ht="15.75" customHeight="1">
      <c r="C405" s="62"/>
      <c r="D405" s="62"/>
      <c r="E405" s="62"/>
      <c r="G405" s="62"/>
      <c r="H405" s="62"/>
      <c r="I405" s="62"/>
      <c r="L405" s="62"/>
      <c r="Q405" s="62"/>
      <c r="R405" s="62"/>
      <c r="T405" s="62"/>
      <c r="U405" s="62"/>
    </row>
    <row r="406" spans="3:21" ht="15.75" customHeight="1">
      <c r="C406" s="62"/>
      <c r="D406" s="62"/>
      <c r="E406" s="62"/>
      <c r="G406" s="62"/>
      <c r="H406" s="62"/>
      <c r="I406" s="62"/>
      <c r="L406" s="62"/>
      <c r="Q406" s="62"/>
      <c r="R406" s="62"/>
      <c r="T406" s="62"/>
      <c r="U406" s="62"/>
    </row>
    <row r="407" spans="3:21" ht="15.75" customHeight="1">
      <c r="C407" s="62"/>
      <c r="D407" s="62"/>
      <c r="E407" s="62"/>
      <c r="G407" s="62"/>
      <c r="H407" s="62"/>
      <c r="I407" s="62"/>
      <c r="L407" s="62"/>
      <c r="Q407" s="62"/>
      <c r="R407" s="62"/>
      <c r="T407" s="62"/>
      <c r="U407" s="62"/>
    </row>
    <row r="408" spans="3:21" ht="15.75" customHeight="1">
      <c r="C408" s="62"/>
      <c r="D408" s="62"/>
      <c r="E408" s="62"/>
      <c r="G408" s="62"/>
      <c r="H408" s="62"/>
      <c r="I408" s="62"/>
      <c r="L408" s="62"/>
      <c r="Q408" s="62"/>
      <c r="R408" s="62"/>
      <c r="T408" s="62"/>
      <c r="U408" s="62"/>
    </row>
    <row r="409" spans="3:21" ht="15.75" customHeight="1">
      <c r="C409" s="62"/>
      <c r="D409" s="62"/>
      <c r="E409" s="62"/>
      <c r="G409" s="62"/>
      <c r="H409" s="62"/>
      <c r="I409" s="62"/>
      <c r="L409" s="62"/>
      <c r="Q409" s="62"/>
      <c r="R409" s="62"/>
      <c r="T409" s="62"/>
      <c r="U409" s="62"/>
    </row>
    <row r="410" spans="3:21" ht="15.75" customHeight="1">
      <c r="C410" s="62"/>
      <c r="D410" s="62"/>
      <c r="E410" s="62"/>
      <c r="G410" s="62"/>
      <c r="H410" s="62"/>
      <c r="I410" s="62"/>
      <c r="L410" s="62"/>
      <c r="Q410" s="62"/>
      <c r="R410" s="62"/>
      <c r="T410" s="62"/>
      <c r="U410" s="62"/>
    </row>
    <row r="411" spans="3:21" ht="15.75" customHeight="1">
      <c r="C411" s="62"/>
      <c r="D411" s="62"/>
      <c r="E411" s="62"/>
      <c r="G411" s="62"/>
      <c r="H411" s="62"/>
      <c r="I411" s="62"/>
      <c r="L411" s="62"/>
      <c r="Q411" s="62"/>
      <c r="R411" s="62"/>
      <c r="T411" s="62"/>
      <c r="U411" s="62"/>
    </row>
    <row r="412" spans="3:21" ht="15.75" customHeight="1">
      <c r="C412" s="62"/>
      <c r="D412" s="62"/>
      <c r="E412" s="62"/>
      <c r="G412" s="62"/>
      <c r="H412" s="62"/>
      <c r="I412" s="62"/>
      <c r="L412" s="62"/>
      <c r="Q412" s="62"/>
      <c r="R412" s="62"/>
      <c r="T412" s="62"/>
      <c r="U412" s="62"/>
    </row>
    <row r="413" spans="3:21" ht="15.75" customHeight="1">
      <c r="C413" s="62"/>
      <c r="D413" s="62"/>
      <c r="E413" s="62"/>
      <c r="G413" s="62"/>
      <c r="H413" s="62"/>
      <c r="I413" s="62"/>
      <c r="L413" s="62"/>
      <c r="Q413" s="62"/>
      <c r="R413" s="62"/>
      <c r="T413" s="62"/>
      <c r="U413" s="62"/>
    </row>
    <row r="414" spans="3:21" ht="15.75" customHeight="1">
      <c r="C414" s="62"/>
      <c r="D414" s="62"/>
      <c r="E414" s="62"/>
      <c r="G414" s="62"/>
      <c r="H414" s="62"/>
      <c r="I414" s="62"/>
      <c r="L414" s="62"/>
      <c r="Q414" s="62"/>
      <c r="R414" s="62"/>
      <c r="T414" s="62"/>
      <c r="U414" s="62"/>
    </row>
    <row r="415" spans="3:21" ht="15.75" customHeight="1">
      <c r="C415" s="62"/>
      <c r="D415" s="62"/>
      <c r="E415" s="62"/>
      <c r="G415" s="62"/>
      <c r="H415" s="62"/>
      <c r="I415" s="62"/>
      <c r="L415" s="62"/>
      <c r="Q415" s="62"/>
      <c r="R415" s="62"/>
      <c r="T415" s="62"/>
      <c r="U415" s="62"/>
    </row>
    <row r="416" spans="3:21" ht="15.75" customHeight="1">
      <c r="C416" s="62"/>
      <c r="D416" s="62"/>
      <c r="E416" s="62"/>
      <c r="G416" s="62"/>
      <c r="H416" s="62"/>
      <c r="I416" s="62"/>
      <c r="L416" s="62"/>
      <c r="Q416" s="62"/>
      <c r="R416" s="62"/>
      <c r="T416" s="62"/>
      <c r="U416" s="62"/>
    </row>
    <row r="417" spans="3:21" ht="15.75" customHeight="1">
      <c r="C417" s="62"/>
      <c r="D417" s="62"/>
      <c r="E417" s="62"/>
      <c r="G417" s="62"/>
      <c r="H417" s="62"/>
      <c r="I417" s="62"/>
      <c r="L417" s="62"/>
      <c r="Q417" s="62"/>
      <c r="R417" s="62"/>
      <c r="T417" s="62"/>
      <c r="U417" s="62"/>
    </row>
    <row r="418" spans="3:21" ht="15.75" customHeight="1">
      <c r="C418" s="62"/>
      <c r="D418" s="62"/>
      <c r="E418" s="62"/>
      <c r="G418" s="62"/>
      <c r="H418" s="62"/>
      <c r="I418" s="62"/>
      <c r="L418" s="62"/>
      <c r="Q418" s="62"/>
      <c r="R418" s="62"/>
      <c r="T418" s="62"/>
      <c r="U418" s="62"/>
    </row>
    <row r="419" spans="3:21" ht="15.75" customHeight="1">
      <c r="C419" s="62"/>
      <c r="D419" s="62"/>
      <c r="E419" s="62"/>
      <c r="G419" s="62"/>
      <c r="H419" s="62"/>
      <c r="I419" s="62"/>
      <c r="L419" s="62"/>
      <c r="Q419" s="62"/>
      <c r="R419" s="62"/>
      <c r="T419" s="62"/>
      <c r="U419" s="62"/>
    </row>
    <row r="420" spans="3:21" ht="15.75" customHeight="1">
      <c r="C420" s="62"/>
      <c r="D420" s="62"/>
      <c r="E420" s="62"/>
      <c r="G420" s="62"/>
      <c r="H420" s="62"/>
      <c r="I420" s="62"/>
      <c r="L420" s="62"/>
      <c r="Q420" s="62"/>
      <c r="R420" s="62"/>
      <c r="T420" s="62"/>
      <c r="U420" s="62"/>
    </row>
    <row r="421" spans="3:21" ht="15.75" customHeight="1">
      <c r="C421" s="62"/>
      <c r="D421" s="62"/>
      <c r="E421" s="62"/>
      <c r="G421" s="62"/>
      <c r="H421" s="62"/>
      <c r="I421" s="62"/>
      <c r="L421" s="62"/>
      <c r="Q421" s="62"/>
      <c r="R421" s="62"/>
      <c r="T421" s="62"/>
      <c r="U421" s="62"/>
    </row>
    <row r="422" spans="3:21" ht="15.75" customHeight="1">
      <c r="C422" s="62"/>
      <c r="D422" s="62"/>
      <c r="E422" s="62"/>
      <c r="G422" s="62"/>
      <c r="H422" s="62"/>
      <c r="I422" s="62"/>
      <c r="L422" s="62"/>
      <c r="Q422" s="62"/>
      <c r="R422" s="62"/>
      <c r="T422" s="62"/>
      <c r="U422" s="62"/>
    </row>
    <row r="423" spans="3:21" ht="15.75" customHeight="1">
      <c r="C423" s="62"/>
      <c r="D423" s="62"/>
      <c r="E423" s="62"/>
      <c r="G423" s="62"/>
      <c r="H423" s="62"/>
      <c r="I423" s="62"/>
      <c r="L423" s="62"/>
      <c r="Q423" s="62"/>
      <c r="R423" s="62"/>
      <c r="T423" s="62"/>
      <c r="U423" s="62"/>
    </row>
    <row r="424" spans="3:21" ht="15.75" customHeight="1">
      <c r="C424" s="62"/>
      <c r="D424" s="62"/>
      <c r="E424" s="62"/>
      <c r="G424" s="62"/>
      <c r="H424" s="62"/>
      <c r="I424" s="62"/>
      <c r="L424" s="62"/>
      <c r="Q424" s="62"/>
      <c r="R424" s="62"/>
      <c r="T424" s="62"/>
      <c r="U424" s="62"/>
    </row>
    <row r="425" spans="3:21" ht="15.75" customHeight="1">
      <c r="C425" s="62"/>
      <c r="D425" s="62"/>
      <c r="E425" s="62"/>
      <c r="G425" s="62"/>
      <c r="H425" s="62"/>
      <c r="I425" s="62"/>
      <c r="L425" s="62"/>
      <c r="Q425" s="62"/>
      <c r="R425" s="62"/>
      <c r="T425" s="62"/>
      <c r="U425" s="62"/>
    </row>
    <row r="426" spans="3:21" ht="15.75" customHeight="1">
      <c r="C426" s="62"/>
      <c r="D426" s="62"/>
      <c r="E426" s="62"/>
      <c r="G426" s="62"/>
      <c r="H426" s="62"/>
      <c r="I426" s="62"/>
      <c r="L426" s="62"/>
      <c r="Q426" s="62"/>
      <c r="R426" s="62"/>
      <c r="T426" s="62"/>
      <c r="U426" s="62"/>
    </row>
    <row r="427" spans="3:21" ht="15.75" customHeight="1">
      <c r="C427" s="62"/>
      <c r="D427" s="62"/>
      <c r="E427" s="62"/>
      <c r="G427" s="62"/>
      <c r="H427" s="62"/>
      <c r="I427" s="62"/>
      <c r="L427" s="62"/>
      <c r="Q427" s="62"/>
      <c r="R427" s="62"/>
      <c r="T427" s="62"/>
      <c r="U427" s="62"/>
    </row>
    <row r="428" spans="3:21" ht="15.75" customHeight="1">
      <c r="C428" s="62"/>
      <c r="D428" s="62"/>
      <c r="E428" s="62"/>
      <c r="G428" s="62"/>
      <c r="H428" s="62"/>
      <c r="I428" s="62"/>
      <c r="L428" s="62"/>
      <c r="Q428" s="62"/>
      <c r="R428" s="62"/>
      <c r="T428" s="62"/>
      <c r="U428" s="62"/>
    </row>
    <row r="429" spans="3:21" ht="15.75" customHeight="1">
      <c r="C429" s="62"/>
      <c r="D429" s="62"/>
      <c r="E429" s="62"/>
      <c r="G429" s="62"/>
      <c r="H429" s="62"/>
      <c r="I429" s="62"/>
      <c r="L429" s="62"/>
      <c r="Q429" s="62"/>
      <c r="R429" s="62"/>
      <c r="T429" s="62"/>
      <c r="U429" s="62"/>
    </row>
    <row r="430" spans="3:21" ht="15.75" customHeight="1">
      <c r="C430" s="62"/>
      <c r="D430" s="62"/>
      <c r="E430" s="62"/>
      <c r="G430" s="62"/>
      <c r="H430" s="62"/>
      <c r="I430" s="62"/>
      <c r="L430" s="62"/>
      <c r="Q430" s="62"/>
      <c r="R430" s="62"/>
      <c r="T430" s="62"/>
      <c r="U430" s="62"/>
    </row>
    <row r="431" spans="3:21" ht="15.75" customHeight="1">
      <c r="C431" s="62"/>
      <c r="D431" s="62"/>
      <c r="E431" s="62"/>
      <c r="G431" s="62"/>
      <c r="H431" s="62"/>
      <c r="I431" s="62"/>
      <c r="L431" s="62"/>
      <c r="Q431" s="62"/>
      <c r="R431" s="62"/>
      <c r="T431" s="62"/>
      <c r="U431" s="62"/>
    </row>
    <row r="432" spans="3:21" ht="15.75" customHeight="1">
      <c r="C432" s="62"/>
      <c r="D432" s="62"/>
      <c r="E432" s="62"/>
      <c r="G432" s="62"/>
      <c r="H432" s="62"/>
      <c r="I432" s="62"/>
      <c r="L432" s="62"/>
      <c r="Q432" s="62"/>
      <c r="R432" s="62"/>
      <c r="T432" s="62"/>
      <c r="U432" s="62"/>
    </row>
    <row r="433" spans="3:21" ht="15.75" customHeight="1">
      <c r="C433" s="62"/>
      <c r="D433" s="62"/>
      <c r="E433" s="62"/>
      <c r="G433" s="62"/>
      <c r="H433" s="62"/>
      <c r="I433" s="62"/>
      <c r="L433" s="62"/>
      <c r="Q433" s="62"/>
      <c r="R433" s="62"/>
      <c r="T433" s="62"/>
      <c r="U433" s="62"/>
    </row>
    <row r="434" spans="3:21" ht="15.75" customHeight="1">
      <c r="C434" s="62"/>
      <c r="D434" s="62"/>
      <c r="E434" s="62"/>
      <c r="G434" s="62"/>
      <c r="H434" s="62"/>
      <c r="I434" s="62"/>
      <c r="L434" s="62"/>
      <c r="Q434" s="62"/>
      <c r="R434" s="62"/>
      <c r="T434" s="62"/>
      <c r="U434" s="62"/>
    </row>
    <row r="435" spans="3:21" ht="15.75" customHeight="1">
      <c r="C435" s="62"/>
      <c r="D435" s="62"/>
      <c r="E435" s="62"/>
      <c r="G435" s="62"/>
      <c r="H435" s="62"/>
      <c r="I435" s="62"/>
      <c r="L435" s="62"/>
      <c r="Q435" s="62"/>
      <c r="R435" s="62"/>
      <c r="T435" s="62"/>
      <c r="U435" s="62"/>
    </row>
    <row r="436" spans="3:21" ht="15.75" customHeight="1">
      <c r="C436" s="62"/>
      <c r="D436" s="62"/>
      <c r="E436" s="62"/>
      <c r="G436" s="62"/>
      <c r="H436" s="62"/>
      <c r="I436" s="62"/>
      <c r="L436" s="62"/>
      <c r="Q436" s="62"/>
      <c r="R436" s="62"/>
      <c r="T436" s="62"/>
      <c r="U436" s="62"/>
    </row>
    <row r="437" spans="3:21" ht="15.75" customHeight="1">
      <c r="C437" s="62"/>
      <c r="D437" s="62"/>
      <c r="E437" s="62"/>
      <c r="G437" s="62"/>
      <c r="H437" s="62"/>
      <c r="I437" s="62"/>
      <c r="L437" s="62"/>
      <c r="Q437" s="62"/>
      <c r="R437" s="62"/>
      <c r="T437" s="62"/>
      <c r="U437" s="62"/>
    </row>
    <row r="438" spans="3:21" ht="15.75" customHeight="1">
      <c r="C438" s="62"/>
      <c r="D438" s="62"/>
      <c r="E438" s="62"/>
      <c r="G438" s="62"/>
      <c r="H438" s="62"/>
      <c r="I438" s="62"/>
      <c r="L438" s="62"/>
      <c r="Q438" s="62"/>
      <c r="R438" s="62"/>
      <c r="T438" s="62"/>
      <c r="U438" s="62"/>
    </row>
    <row r="439" spans="3:21" ht="15.75" customHeight="1">
      <c r="C439" s="62"/>
      <c r="D439" s="62"/>
      <c r="E439" s="62"/>
      <c r="G439" s="62"/>
      <c r="H439" s="62"/>
      <c r="I439" s="62"/>
      <c r="L439" s="62"/>
      <c r="Q439" s="62"/>
      <c r="R439" s="62"/>
      <c r="T439" s="62"/>
      <c r="U439" s="62"/>
    </row>
    <row r="440" spans="3:21" ht="15.75" customHeight="1">
      <c r="C440" s="62"/>
      <c r="D440" s="62"/>
      <c r="E440" s="62"/>
      <c r="G440" s="62"/>
      <c r="H440" s="62"/>
      <c r="I440" s="62"/>
      <c r="L440" s="62"/>
      <c r="Q440" s="62"/>
      <c r="R440" s="62"/>
      <c r="T440" s="62"/>
      <c r="U440" s="62"/>
    </row>
    <row r="441" spans="3:21" ht="15.75" customHeight="1">
      <c r="C441" s="62"/>
      <c r="D441" s="62"/>
      <c r="E441" s="62"/>
      <c r="G441" s="62"/>
      <c r="H441" s="62"/>
      <c r="I441" s="62"/>
      <c r="L441" s="62"/>
      <c r="Q441" s="62"/>
      <c r="R441" s="62"/>
      <c r="T441" s="62"/>
      <c r="U441" s="62"/>
    </row>
    <row r="442" spans="3:21" ht="15.75" customHeight="1">
      <c r="C442" s="62"/>
      <c r="D442" s="62"/>
      <c r="E442" s="62"/>
      <c r="G442" s="62"/>
      <c r="H442" s="62"/>
      <c r="I442" s="62"/>
      <c r="L442" s="62"/>
      <c r="Q442" s="62"/>
      <c r="R442" s="62"/>
      <c r="T442" s="62"/>
      <c r="U442" s="62"/>
    </row>
    <row r="443" spans="3:21" ht="15.75" customHeight="1">
      <c r="C443" s="62"/>
      <c r="D443" s="62"/>
      <c r="E443" s="62"/>
      <c r="G443" s="62"/>
      <c r="H443" s="62"/>
      <c r="I443" s="62"/>
      <c r="L443" s="62"/>
      <c r="Q443" s="62"/>
      <c r="R443" s="62"/>
      <c r="T443" s="62"/>
      <c r="U443" s="62"/>
    </row>
    <row r="444" spans="3:21" ht="15.75" customHeight="1">
      <c r="C444" s="62"/>
      <c r="D444" s="62"/>
      <c r="E444" s="62"/>
      <c r="G444" s="62"/>
      <c r="H444" s="62"/>
      <c r="I444" s="62"/>
      <c r="L444" s="62"/>
      <c r="Q444" s="62"/>
      <c r="R444" s="62"/>
      <c r="T444" s="62"/>
      <c r="U444" s="62"/>
    </row>
    <row r="445" spans="3:21" ht="15.75" customHeight="1">
      <c r="C445" s="62"/>
      <c r="D445" s="62"/>
      <c r="E445" s="62"/>
      <c r="G445" s="62"/>
      <c r="H445" s="62"/>
      <c r="I445" s="62"/>
      <c r="L445" s="62"/>
      <c r="Q445" s="62"/>
      <c r="R445" s="62"/>
      <c r="T445" s="62"/>
      <c r="U445" s="62"/>
    </row>
    <row r="446" spans="3:21" ht="15.75" customHeight="1">
      <c r="C446" s="62"/>
      <c r="D446" s="62"/>
      <c r="E446" s="62"/>
      <c r="G446" s="62"/>
      <c r="H446" s="62"/>
      <c r="I446" s="62"/>
      <c r="L446" s="62"/>
      <c r="Q446" s="62"/>
      <c r="R446" s="62"/>
      <c r="T446" s="62"/>
      <c r="U446" s="62"/>
    </row>
    <row r="447" spans="3:21" ht="15.75" customHeight="1">
      <c r="C447" s="62"/>
      <c r="D447" s="62"/>
      <c r="E447" s="62"/>
      <c r="G447" s="62"/>
      <c r="H447" s="62"/>
      <c r="I447" s="62"/>
      <c r="L447" s="62"/>
      <c r="Q447" s="62"/>
      <c r="R447" s="62"/>
      <c r="T447" s="62"/>
      <c r="U447" s="62"/>
    </row>
    <row r="448" spans="3:21" ht="15.75" customHeight="1">
      <c r="C448" s="62"/>
      <c r="D448" s="62"/>
      <c r="E448" s="62"/>
      <c r="G448" s="62"/>
      <c r="H448" s="62"/>
      <c r="I448" s="62"/>
      <c r="L448" s="62"/>
      <c r="Q448" s="62"/>
      <c r="R448" s="62"/>
      <c r="T448" s="62"/>
      <c r="U448" s="62"/>
    </row>
    <row r="449" spans="3:21" ht="15.75" customHeight="1">
      <c r="C449" s="62"/>
      <c r="D449" s="62"/>
      <c r="E449" s="62"/>
      <c r="G449" s="62"/>
      <c r="H449" s="62"/>
      <c r="I449" s="62"/>
      <c r="L449" s="62"/>
      <c r="Q449" s="62"/>
      <c r="R449" s="62"/>
      <c r="T449" s="62"/>
      <c r="U449" s="62"/>
    </row>
    <row r="450" spans="3:21" ht="15.75" customHeight="1">
      <c r="C450" s="62"/>
      <c r="D450" s="62"/>
      <c r="E450" s="62"/>
      <c r="G450" s="62"/>
      <c r="H450" s="62"/>
      <c r="I450" s="62"/>
      <c r="L450" s="62"/>
      <c r="Q450" s="62"/>
      <c r="R450" s="62"/>
      <c r="T450" s="62"/>
      <c r="U450" s="62"/>
    </row>
    <row r="451" spans="3:21" ht="15.75" customHeight="1">
      <c r="C451" s="62"/>
      <c r="D451" s="62"/>
      <c r="E451" s="62"/>
      <c r="G451" s="62"/>
      <c r="H451" s="62"/>
      <c r="I451" s="62"/>
      <c r="L451" s="62"/>
      <c r="Q451" s="62"/>
      <c r="R451" s="62"/>
      <c r="T451" s="62"/>
      <c r="U451" s="62"/>
    </row>
    <row r="452" spans="3:21" ht="15.75" customHeight="1">
      <c r="C452" s="62"/>
      <c r="D452" s="62"/>
      <c r="E452" s="62"/>
      <c r="G452" s="62"/>
      <c r="H452" s="62"/>
      <c r="I452" s="62"/>
      <c r="L452" s="62"/>
      <c r="Q452" s="62"/>
      <c r="R452" s="62"/>
      <c r="T452" s="62"/>
      <c r="U452" s="62"/>
    </row>
    <row r="453" spans="3:21" ht="15.75" customHeight="1">
      <c r="C453" s="62"/>
      <c r="D453" s="62"/>
      <c r="E453" s="62"/>
      <c r="G453" s="62"/>
      <c r="H453" s="62"/>
      <c r="I453" s="62"/>
      <c r="L453" s="62"/>
      <c r="Q453" s="62"/>
      <c r="R453" s="62"/>
      <c r="T453" s="62"/>
      <c r="U453" s="62"/>
    </row>
    <row r="454" spans="3:21" ht="15.75" customHeight="1">
      <c r="C454" s="62"/>
      <c r="D454" s="62"/>
      <c r="E454" s="62"/>
      <c r="G454" s="62"/>
      <c r="H454" s="62"/>
      <c r="I454" s="62"/>
      <c r="L454" s="62"/>
      <c r="Q454" s="62"/>
      <c r="R454" s="62"/>
      <c r="T454" s="62"/>
      <c r="U454" s="62"/>
    </row>
    <row r="455" spans="3:21" ht="15.75" customHeight="1">
      <c r="C455" s="62"/>
      <c r="D455" s="62"/>
      <c r="E455" s="62"/>
      <c r="G455" s="62"/>
      <c r="H455" s="62"/>
      <c r="I455" s="62"/>
      <c r="L455" s="62"/>
      <c r="Q455" s="62"/>
      <c r="R455" s="62"/>
      <c r="T455" s="62"/>
      <c r="U455" s="62"/>
    </row>
    <row r="456" spans="3:21" ht="15.75" customHeight="1">
      <c r="C456" s="62"/>
      <c r="D456" s="62"/>
      <c r="E456" s="62"/>
      <c r="G456" s="62"/>
      <c r="H456" s="62"/>
      <c r="I456" s="62"/>
      <c r="L456" s="62"/>
      <c r="Q456" s="62"/>
      <c r="R456" s="62"/>
      <c r="T456" s="62"/>
      <c r="U456" s="62"/>
    </row>
    <row r="457" spans="3:21" ht="15.75" customHeight="1">
      <c r="C457" s="62"/>
      <c r="D457" s="62"/>
      <c r="E457" s="62"/>
      <c r="G457" s="62"/>
      <c r="H457" s="62"/>
      <c r="I457" s="62"/>
      <c r="L457" s="62"/>
      <c r="Q457" s="62"/>
      <c r="R457" s="62"/>
      <c r="T457" s="62"/>
      <c r="U457" s="62"/>
    </row>
    <row r="458" spans="3:21" ht="15.75" customHeight="1">
      <c r="C458" s="62"/>
      <c r="D458" s="62"/>
      <c r="E458" s="62"/>
      <c r="G458" s="62"/>
      <c r="H458" s="62"/>
      <c r="I458" s="62"/>
      <c r="L458" s="62"/>
      <c r="Q458" s="62"/>
      <c r="R458" s="62"/>
      <c r="T458" s="62"/>
      <c r="U458" s="62"/>
    </row>
    <row r="459" spans="3:21" ht="15.75" customHeight="1">
      <c r="C459" s="62"/>
      <c r="D459" s="62"/>
      <c r="E459" s="62"/>
      <c r="G459" s="62"/>
      <c r="H459" s="62"/>
      <c r="I459" s="62"/>
      <c r="L459" s="62"/>
      <c r="Q459" s="62"/>
      <c r="R459" s="62"/>
      <c r="T459" s="62"/>
      <c r="U459" s="62"/>
    </row>
    <row r="460" spans="3:21" ht="15.75" customHeight="1">
      <c r="C460" s="62"/>
      <c r="D460" s="62"/>
      <c r="E460" s="62"/>
      <c r="G460" s="62"/>
      <c r="H460" s="62"/>
      <c r="I460" s="62"/>
      <c r="L460" s="62"/>
      <c r="Q460" s="62"/>
      <c r="R460" s="62"/>
      <c r="T460" s="62"/>
      <c r="U460" s="62"/>
    </row>
    <row r="461" spans="3:21" ht="15.75" customHeight="1">
      <c r="C461" s="62"/>
      <c r="D461" s="62"/>
      <c r="E461" s="62"/>
      <c r="G461" s="62"/>
      <c r="H461" s="62"/>
      <c r="I461" s="62"/>
      <c r="L461" s="62"/>
      <c r="Q461" s="62"/>
      <c r="R461" s="62"/>
      <c r="T461" s="62"/>
      <c r="U461" s="62"/>
    </row>
    <row r="462" spans="3:21" ht="15.75" customHeight="1">
      <c r="C462" s="62"/>
      <c r="D462" s="62"/>
      <c r="E462" s="62"/>
      <c r="G462" s="62"/>
      <c r="H462" s="62"/>
      <c r="I462" s="62"/>
      <c r="L462" s="62"/>
      <c r="Q462" s="62"/>
      <c r="R462" s="62"/>
      <c r="T462" s="62"/>
      <c r="U462" s="62"/>
    </row>
    <row r="463" spans="3:21" ht="15.75" customHeight="1">
      <c r="C463" s="62"/>
      <c r="D463" s="62"/>
      <c r="E463" s="62"/>
      <c r="G463" s="62"/>
      <c r="H463" s="62"/>
      <c r="I463" s="62"/>
      <c r="L463" s="62"/>
      <c r="Q463" s="62"/>
      <c r="R463" s="62"/>
      <c r="T463" s="62"/>
      <c r="U463" s="62"/>
    </row>
    <row r="464" spans="3:21" ht="15.75" customHeight="1">
      <c r="C464" s="62"/>
      <c r="D464" s="62"/>
      <c r="E464" s="62"/>
      <c r="G464" s="62"/>
      <c r="H464" s="62"/>
      <c r="I464" s="62"/>
      <c r="L464" s="62"/>
      <c r="Q464" s="62"/>
      <c r="R464" s="62"/>
      <c r="T464" s="62"/>
      <c r="U464" s="62"/>
    </row>
    <row r="465" spans="3:21" ht="15.75" customHeight="1">
      <c r="C465" s="62"/>
      <c r="D465" s="62"/>
      <c r="E465" s="62"/>
      <c r="G465" s="62"/>
      <c r="H465" s="62"/>
      <c r="I465" s="62"/>
      <c r="L465" s="62"/>
      <c r="Q465" s="62"/>
      <c r="R465" s="62"/>
      <c r="T465" s="62"/>
      <c r="U465" s="62"/>
    </row>
    <row r="466" spans="3:21" ht="15.75" customHeight="1">
      <c r="C466" s="62"/>
      <c r="D466" s="62"/>
      <c r="E466" s="62"/>
      <c r="G466" s="62"/>
      <c r="H466" s="62"/>
      <c r="I466" s="62"/>
      <c r="L466" s="62"/>
      <c r="Q466" s="62"/>
      <c r="R466" s="62"/>
      <c r="T466" s="62"/>
      <c r="U466" s="62"/>
    </row>
    <row r="467" spans="3:21" ht="15.75" customHeight="1">
      <c r="C467" s="62"/>
      <c r="D467" s="62"/>
      <c r="E467" s="62"/>
      <c r="G467" s="62"/>
      <c r="H467" s="62"/>
      <c r="I467" s="62"/>
      <c r="L467" s="62"/>
      <c r="Q467" s="62"/>
      <c r="R467" s="62"/>
      <c r="T467" s="62"/>
      <c r="U467" s="62"/>
    </row>
    <row r="468" spans="3:21" ht="15.75" customHeight="1">
      <c r="C468" s="62"/>
      <c r="D468" s="62"/>
      <c r="E468" s="62"/>
      <c r="G468" s="62"/>
      <c r="H468" s="62"/>
      <c r="I468" s="62"/>
      <c r="L468" s="62"/>
      <c r="Q468" s="62"/>
      <c r="R468" s="62"/>
      <c r="T468" s="62"/>
      <c r="U468" s="62"/>
    </row>
    <row r="469" spans="3:21" ht="15.75" customHeight="1">
      <c r="C469" s="62"/>
      <c r="D469" s="62"/>
      <c r="E469" s="62"/>
      <c r="G469" s="62"/>
      <c r="H469" s="62"/>
      <c r="I469" s="62"/>
      <c r="L469" s="62"/>
      <c r="Q469" s="62"/>
      <c r="R469" s="62"/>
      <c r="T469" s="62"/>
      <c r="U469" s="62"/>
    </row>
    <row r="470" spans="3:21" ht="15.75" customHeight="1">
      <c r="C470" s="62"/>
      <c r="D470" s="62"/>
      <c r="E470" s="62"/>
      <c r="G470" s="62"/>
      <c r="H470" s="62"/>
      <c r="I470" s="62"/>
      <c r="L470" s="62"/>
      <c r="Q470" s="62"/>
      <c r="R470" s="62"/>
      <c r="T470" s="62"/>
      <c r="U470" s="62"/>
    </row>
    <row r="471" spans="3:21" ht="15.75" customHeight="1">
      <c r="C471" s="62"/>
      <c r="D471" s="62"/>
      <c r="E471" s="62"/>
      <c r="G471" s="62"/>
      <c r="H471" s="62"/>
      <c r="I471" s="62"/>
      <c r="L471" s="62"/>
      <c r="Q471" s="62"/>
      <c r="R471" s="62"/>
      <c r="T471" s="62"/>
      <c r="U471" s="62"/>
    </row>
    <row r="472" spans="3:21" ht="15.75" customHeight="1">
      <c r="C472" s="62"/>
      <c r="D472" s="62"/>
      <c r="E472" s="62"/>
      <c r="G472" s="62"/>
      <c r="H472" s="62"/>
      <c r="I472" s="62"/>
      <c r="L472" s="62"/>
      <c r="Q472" s="62"/>
      <c r="R472" s="62"/>
      <c r="T472" s="62"/>
      <c r="U472" s="62"/>
    </row>
    <row r="473" spans="3:21" ht="15.75" customHeight="1">
      <c r="C473" s="62"/>
      <c r="D473" s="62"/>
      <c r="E473" s="62"/>
      <c r="G473" s="62"/>
      <c r="H473" s="62"/>
      <c r="I473" s="62"/>
      <c r="L473" s="62"/>
      <c r="Q473" s="62"/>
      <c r="R473" s="62"/>
      <c r="T473" s="62"/>
      <c r="U473" s="62"/>
    </row>
    <row r="474" spans="3:21" ht="15.75" customHeight="1">
      <c r="C474" s="62"/>
      <c r="D474" s="62"/>
      <c r="E474" s="62"/>
      <c r="G474" s="62"/>
      <c r="H474" s="62"/>
      <c r="I474" s="62"/>
      <c r="L474" s="62"/>
      <c r="Q474" s="62"/>
      <c r="R474" s="62"/>
      <c r="T474" s="62"/>
      <c r="U474" s="62"/>
    </row>
    <row r="475" spans="3:21" ht="15.75" customHeight="1">
      <c r="C475" s="62"/>
      <c r="D475" s="62"/>
      <c r="E475" s="62"/>
      <c r="G475" s="62"/>
      <c r="H475" s="62"/>
      <c r="I475" s="62"/>
      <c r="L475" s="62"/>
      <c r="Q475" s="62"/>
      <c r="R475" s="62"/>
      <c r="T475" s="62"/>
      <c r="U475" s="62"/>
    </row>
    <row r="476" spans="3:21" ht="15.75" customHeight="1">
      <c r="C476" s="62"/>
      <c r="D476" s="62"/>
      <c r="E476" s="62"/>
      <c r="G476" s="62"/>
      <c r="H476" s="62"/>
      <c r="I476" s="62"/>
      <c r="L476" s="62"/>
      <c r="Q476" s="62"/>
      <c r="R476" s="62"/>
      <c r="T476" s="62"/>
      <c r="U476" s="62"/>
    </row>
    <row r="477" spans="3:21" ht="15.75" customHeight="1">
      <c r="C477" s="62"/>
      <c r="D477" s="62"/>
      <c r="E477" s="62"/>
      <c r="G477" s="62"/>
      <c r="H477" s="62"/>
      <c r="I477" s="62"/>
      <c r="L477" s="62"/>
      <c r="Q477" s="62"/>
      <c r="R477" s="62"/>
      <c r="T477" s="62"/>
      <c r="U477" s="62"/>
    </row>
    <row r="478" spans="3:21" ht="15.75" customHeight="1">
      <c r="C478" s="62"/>
      <c r="D478" s="62"/>
      <c r="E478" s="62"/>
      <c r="G478" s="62"/>
      <c r="H478" s="62"/>
      <c r="I478" s="62"/>
      <c r="L478" s="62"/>
      <c r="Q478" s="62"/>
      <c r="R478" s="62"/>
      <c r="T478" s="62"/>
      <c r="U478" s="62"/>
    </row>
    <row r="479" spans="3:21" ht="15.75" customHeight="1">
      <c r="C479" s="62"/>
      <c r="D479" s="62"/>
      <c r="E479" s="62"/>
      <c r="G479" s="62"/>
      <c r="H479" s="62"/>
      <c r="I479" s="62"/>
      <c r="L479" s="62"/>
      <c r="Q479" s="62"/>
      <c r="R479" s="62"/>
      <c r="T479" s="62"/>
      <c r="U479" s="62"/>
    </row>
    <row r="480" spans="3:21" ht="15.75" customHeight="1">
      <c r="C480" s="62"/>
      <c r="D480" s="62"/>
      <c r="E480" s="62"/>
      <c r="G480" s="62"/>
      <c r="H480" s="62"/>
      <c r="I480" s="62"/>
      <c r="L480" s="62"/>
      <c r="Q480" s="62"/>
      <c r="R480" s="62"/>
      <c r="T480" s="62"/>
      <c r="U480" s="62"/>
    </row>
    <row r="481" spans="3:21" ht="15.75" customHeight="1">
      <c r="C481" s="62"/>
      <c r="D481" s="62"/>
      <c r="E481" s="62"/>
      <c r="G481" s="62"/>
      <c r="H481" s="62"/>
      <c r="I481" s="62"/>
      <c r="L481" s="62"/>
      <c r="Q481" s="62"/>
      <c r="R481" s="62"/>
      <c r="T481" s="62"/>
      <c r="U481" s="62"/>
    </row>
    <row r="482" spans="3:21" ht="15.75" customHeight="1">
      <c r="C482" s="62"/>
      <c r="D482" s="62"/>
      <c r="E482" s="62"/>
      <c r="G482" s="62"/>
      <c r="H482" s="62"/>
      <c r="I482" s="62"/>
      <c r="L482" s="62"/>
      <c r="Q482" s="62"/>
      <c r="R482" s="62"/>
      <c r="T482" s="62"/>
      <c r="U482" s="62"/>
    </row>
    <row r="483" spans="3:21" ht="15.75" customHeight="1">
      <c r="C483" s="62"/>
      <c r="D483" s="62"/>
      <c r="E483" s="62"/>
      <c r="G483" s="62"/>
      <c r="H483" s="62"/>
      <c r="I483" s="62"/>
      <c r="L483" s="62"/>
      <c r="Q483" s="62"/>
      <c r="R483" s="62"/>
      <c r="T483" s="62"/>
      <c r="U483" s="62"/>
    </row>
    <row r="484" spans="3:21" ht="15.75" customHeight="1">
      <c r="C484" s="62"/>
      <c r="D484" s="62"/>
      <c r="E484" s="62"/>
      <c r="G484" s="62"/>
      <c r="H484" s="62"/>
      <c r="I484" s="62"/>
      <c r="L484" s="62"/>
      <c r="Q484" s="62"/>
      <c r="R484" s="62"/>
      <c r="T484" s="62"/>
      <c r="U484" s="62"/>
    </row>
    <row r="485" spans="3:21" ht="15.75" customHeight="1">
      <c r="C485" s="62"/>
      <c r="D485" s="62"/>
      <c r="E485" s="62"/>
      <c r="G485" s="62"/>
      <c r="H485" s="62"/>
      <c r="I485" s="62"/>
      <c r="L485" s="62"/>
      <c r="Q485" s="62"/>
      <c r="R485" s="62"/>
      <c r="T485" s="62"/>
      <c r="U485" s="62"/>
    </row>
    <row r="486" spans="3:21" ht="15.75" customHeight="1">
      <c r="C486" s="62"/>
      <c r="D486" s="62"/>
      <c r="E486" s="62"/>
      <c r="G486" s="62"/>
      <c r="H486" s="62"/>
      <c r="I486" s="62"/>
      <c r="L486" s="62"/>
      <c r="Q486" s="62"/>
      <c r="R486" s="62"/>
      <c r="T486" s="62"/>
      <c r="U486" s="62"/>
    </row>
    <row r="487" spans="3:21" ht="15.75" customHeight="1">
      <c r="C487" s="62"/>
      <c r="D487" s="62"/>
      <c r="E487" s="62"/>
      <c r="G487" s="62"/>
      <c r="H487" s="62"/>
      <c r="I487" s="62"/>
      <c r="L487" s="62"/>
      <c r="Q487" s="62"/>
      <c r="R487" s="62"/>
      <c r="T487" s="62"/>
      <c r="U487" s="62"/>
    </row>
    <row r="488" spans="3:21" ht="15.75" customHeight="1">
      <c r="C488" s="62"/>
      <c r="D488" s="62"/>
      <c r="E488" s="62"/>
      <c r="G488" s="62"/>
      <c r="H488" s="62"/>
      <c r="I488" s="62"/>
      <c r="L488" s="62"/>
      <c r="Q488" s="62"/>
      <c r="R488" s="62"/>
      <c r="T488" s="62"/>
      <c r="U488" s="62"/>
    </row>
    <row r="489" spans="3:21" ht="15.75" customHeight="1">
      <c r="C489" s="62"/>
      <c r="D489" s="62"/>
      <c r="E489" s="62"/>
      <c r="G489" s="62"/>
      <c r="H489" s="62"/>
      <c r="I489" s="62"/>
      <c r="L489" s="62"/>
      <c r="Q489" s="62"/>
      <c r="R489" s="62"/>
      <c r="T489" s="62"/>
      <c r="U489" s="62"/>
    </row>
    <row r="490" spans="3:21" ht="15.75" customHeight="1">
      <c r="C490" s="62"/>
      <c r="D490" s="62"/>
      <c r="E490" s="62"/>
      <c r="G490" s="62"/>
      <c r="H490" s="62"/>
      <c r="I490" s="62"/>
      <c r="L490" s="62"/>
      <c r="Q490" s="62"/>
      <c r="R490" s="62"/>
      <c r="T490" s="62"/>
      <c r="U490" s="62"/>
    </row>
    <row r="491" spans="3:21" ht="15.75" customHeight="1">
      <c r="C491" s="62"/>
      <c r="D491" s="62"/>
      <c r="E491" s="62"/>
      <c r="G491" s="62"/>
      <c r="H491" s="62"/>
      <c r="I491" s="62"/>
      <c r="L491" s="62"/>
      <c r="Q491" s="62"/>
      <c r="R491" s="62"/>
      <c r="T491" s="62"/>
      <c r="U491" s="62"/>
    </row>
    <row r="492" spans="3:21" ht="15.75" customHeight="1">
      <c r="C492" s="62"/>
      <c r="D492" s="62"/>
      <c r="E492" s="62"/>
      <c r="G492" s="62"/>
      <c r="H492" s="62"/>
      <c r="I492" s="62"/>
      <c r="L492" s="62"/>
      <c r="Q492" s="62"/>
      <c r="R492" s="62"/>
      <c r="T492" s="62"/>
      <c r="U492" s="62"/>
    </row>
    <row r="493" spans="3:21" ht="15.75" customHeight="1">
      <c r="C493" s="62"/>
      <c r="D493" s="62"/>
      <c r="E493" s="62"/>
      <c r="G493" s="62"/>
      <c r="H493" s="62"/>
      <c r="I493" s="62"/>
      <c r="L493" s="62"/>
      <c r="Q493" s="62"/>
      <c r="R493" s="62"/>
      <c r="T493" s="62"/>
      <c r="U493" s="62"/>
    </row>
    <row r="494" spans="3:21" ht="15.75" customHeight="1">
      <c r="C494" s="62"/>
      <c r="D494" s="62"/>
      <c r="E494" s="62"/>
      <c r="G494" s="62"/>
      <c r="H494" s="62"/>
      <c r="I494" s="62"/>
      <c r="L494" s="62"/>
      <c r="Q494" s="62"/>
      <c r="R494" s="62"/>
      <c r="T494" s="62"/>
      <c r="U494" s="62"/>
    </row>
    <row r="495" spans="3:21" ht="15.75" customHeight="1">
      <c r="C495" s="62"/>
      <c r="D495" s="62"/>
      <c r="E495" s="62"/>
      <c r="G495" s="62"/>
      <c r="H495" s="62"/>
      <c r="I495" s="62"/>
      <c r="L495" s="62"/>
      <c r="Q495" s="62"/>
      <c r="R495" s="62"/>
      <c r="T495" s="62"/>
      <c r="U495" s="62"/>
    </row>
    <row r="496" spans="3:21" ht="15.75" customHeight="1">
      <c r="C496" s="62"/>
      <c r="D496" s="62"/>
      <c r="E496" s="62"/>
      <c r="G496" s="62"/>
      <c r="H496" s="62"/>
      <c r="I496" s="62"/>
      <c r="L496" s="62"/>
      <c r="Q496" s="62"/>
      <c r="R496" s="62"/>
      <c r="T496" s="62"/>
      <c r="U496" s="62"/>
    </row>
    <row r="497" spans="3:21" ht="15.75" customHeight="1">
      <c r="C497" s="62"/>
      <c r="D497" s="62"/>
      <c r="E497" s="62"/>
      <c r="G497" s="62"/>
      <c r="H497" s="62"/>
      <c r="I497" s="62"/>
      <c r="L497" s="62"/>
      <c r="Q497" s="62"/>
      <c r="R497" s="62"/>
      <c r="T497" s="62"/>
      <c r="U497" s="62"/>
    </row>
    <row r="498" spans="3:21" ht="15.75" customHeight="1">
      <c r="C498" s="62"/>
      <c r="D498" s="62"/>
      <c r="E498" s="62"/>
      <c r="G498" s="62"/>
      <c r="H498" s="62"/>
      <c r="I498" s="62"/>
      <c r="L498" s="62"/>
      <c r="Q498" s="62"/>
      <c r="R498" s="62"/>
      <c r="T498" s="62"/>
      <c r="U498" s="62"/>
    </row>
    <row r="499" spans="3:21" ht="15.75" customHeight="1">
      <c r="C499" s="62"/>
      <c r="D499" s="62"/>
      <c r="E499" s="62"/>
      <c r="G499" s="62"/>
      <c r="H499" s="62"/>
      <c r="I499" s="62"/>
      <c r="L499" s="62"/>
      <c r="Q499" s="62"/>
      <c r="R499" s="62"/>
      <c r="T499" s="62"/>
      <c r="U499" s="62"/>
    </row>
    <row r="500" spans="3:21" ht="15.75" customHeight="1">
      <c r="C500" s="62"/>
      <c r="D500" s="62"/>
      <c r="E500" s="62"/>
      <c r="G500" s="62"/>
      <c r="H500" s="62"/>
      <c r="I500" s="62"/>
      <c r="L500" s="62"/>
      <c r="Q500" s="62"/>
      <c r="R500" s="62"/>
      <c r="T500" s="62"/>
      <c r="U500" s="62"/>
    </row>
    <row r="501" spans="3:21" ht="15.75" customHeight="1">
      <c r="C501" s="62"/>
      <c r="D501" s="62"/>
      <c r="E501" s="62"/>
      <c r="G501" s="62"/>
      <c r="H501" s="62"/>
      <c r="I501" s="62"/>
      <c r="L501" s="62"/>
      <c r="Q501" s="62"/>
      <c r="R501" s="62"/>
      <c r="T501" s="62"/>
      <c r="U501" s="62"/>
    </row>
    <row r="502" spans="3:21" ht="15.75" customHeight="1">
      <c r="C502" s="62"/>
      <c r="D502" s="62"/>
      <c r="E502" s="62"/>
      <c r="G502" s="62"/>
      <c r="H502" s="62"/>
      <c r="I502" s="62"/>
      <c r="L502" s="62"/>
      <c r="Q502" s="62"/>
      <c r="R502" s="62"/>
      <c r="T502" s="62"/>
      <c r="U502" s="62"/>
    </row>
    <row r="503" spans="3:21" ht="15.75" customHeight="1">
      <c r="C503" s="62"/>
      <c r="D503" s="62"/>
      <c r="E503" s="62"/>
      <c r="G503" s="62"/>
      <c r="H503" s="62"/>
      <c r="I503" s="62"/>
      <c r="L503" s="62"/>
      <c r="Q503" s="62"/>
      <c r="R503" s="62"/>
      <c r="T503" s="62"/>
      <c r="U503" s="62"/>
    </row>
    <row r="504" spans="3:21" ht="15.75" customHeight="1">
      <c r="C504" s="62"/>
      <c r="D504" s="62"/>
      <c r="E504" s="62"/>
      <c r="G504" s="62"/>
      <c r="H504" s="62"/>
      <c r="I504" s="62"/>
      <c r="L504" s="62"/>
      <c r="Q504" s="62"/>
      <c r="R504" s="62"/>
      <c r="T504" s="62"/>
      <c r="U504" s="62"/>
    </row>
    <row r="505" spans="3:21" ht="15.75" customHeight="1">
      <c r="C505" s="62"/>
      <c r="D505" s="62"/>
      <c r="E505" s="62"/>
      <c r="G505" s="62"/>
      <c r="H505" s="62"/>
      <c r="I505" s="62"/>
      <c r="L505" s="62"/>
      <c r="Q505" s="62"/>
      <c r="R505" s="62"/>
      <c r="T505" s="62"/>
      <c r="U505" s="62"/>
    </row>
    <row r="506" spans="3:21" ht="15.75" customHeight="1">
      <c r="C506" s="62"/>
      <c r="D506" s="62"/>
      <c r="E506" s="62"/>
      <c r="G506" s="62"/>
      <c r="H506" s="62"/>
      <c r="I506" s="62"/>
      <c r="L506" s="62"/>
      <c r="Q506" s="62"/>
      <c r="R506" s="62"/>
      <c r="T506" s="62"/>
      <c r="U506" s="62"/>
    </row>
    <row r="507" spans="3:21" ht="15.75" customHeight="1">
      <c r="C507" s="62"/>
      <c r="D507" s="62"/>
      <c r="E507" s="62"/>
      <c r="G507" s="62"/>
      <c r="H507" s="62"/>
      <c r="I507" s="62"/>
      <c r="L507" s="62"/>
      <c r="Q507" s="62"/>
      <c r="R507" s="62"/>
      <c r="T507" s="62"/>
      <c r="U507" s="62"/>
    </row>
    <row r="508" spans="3:21" ht="15.75" customHeight="1">
      <c r="C508" s="62"/>
      <c r="D508" s="62"/>
      <c r="E508" s="62"/>
      <c r="G508" s="62"/>
      <c r="H508" s="62"/>
      <c r="I508" s="62"/>
      <c r="L508" s="62"/>
      <c r="Q508" s="62"/>
      <c r="R508" s="62"/>
      <c r="T508" s="62"/>
      <c r="U508" s="62"/>
    </row>
    <row r="509" spans="3:21" ht="15.75" customHeight="1">
      <c r="C509" s="62"/>
      <c r="D509" s="62"/>
      <c r="E509" s="62"/>
      <c r="G509" s="62"/>
      <c r="H509" s="62"/>
      <c r="I509" s="62"/>
      <c r="L509" s="62"/>
      <c r="Q509" s="62"/>
      <c r="R509" s="62"/>
      <c r="T509" s="62"/>
      <c r="U509" s="62"/>
    </row>
    <row r="510" spans="3:21" ht="15.75" customHeight="1">
      <c r="C510" s="62"/>
      <c r="D510" s="62"/>
      <c r="E510" s="62"/>
      <c r="G510" s="62"/>
      <c r="H510" s="62"/>
      <c r="I510" s="62"/>
      <c r="L510" s="62"/>
      <c r="Q510" s="62"/>
      <c r="R510" s="62"/>
      <c r="T510" s="62"/>
      <c r="U510" s="62"/>
    </row>
    <row r="511" spans="3:21" ht="15.75" customHeight="1">
      <c r="C511" s="62"/>
      <c r="D511" s="62"/>
      <c r="E511" s="62"/>
      <c r="G511" s="62"/>
      <c r="H511" s="62"/>
      <c r="I511" s="62"/>
      <c r="L511" s="62"/>
      <c r="Q511" s="62"/>
      <c r="R511" s="62"/>
      <c r="T511" s="62"/>
      <c r="U511" s="62"/>
    </row>
    <row r="512" spans="3:21" ht="15.75" customHeight="1">
      <c r="C512" s="62"/>
      <c r="D512" s="62"/>
      <c r="E512" s="62"/>
      <c r="G512" s="62"/>
      <c r="H512" s="62"/>
      <c r="I512" s="62"/>
      <c r="L512" s="62"/>
      <c r="Q512" s="62"/>
      <c r="R512" s="62"/>
      <c r="T512" s="62"/>
      <c r="U512" s="62"/>
    </row>
    <row r="513" spans="3:21" ht="15.75" customHeight="1">
      <c r="C513" s="62"/>
      <c r="D513" s="62"/>
      <c r="E513" s="62"/>
      <c r="G513" s="62"/>
      <c r="H513" s="62"/>
      <c r="I513" s="62"/>
      <c r="L513" s="62"/>
      <c r="Q513" s="62"/>
      <c r="R513" s="62"/>
      <c r="T513" s="62"/>
      <c r="U513" s="62"/>
    </row>
    <row r="514" spans="3:21" ht="15.75" customHeight="1">
      <c r="C514" s="62"/>
      <c r="D514" s="62"/>
      <c r="E514" s="62"/>
      <c r="G514" s="62"/>
      <c r="H514" s="62"/>
      <c r="I514" s="62"/>
      <c r="L514" s="62"/>
      <c r="Q514" s="62"/>
      <c r="R514" s="62"/>
      <c r="T514" s="62"/>
      <c r="U514" s="62"/>
    </row>
    <row r="515" spans="3:21" ht="15.75" customHeight="1">
      <c r="C515" s="62"/>
      <c r="D515" s="62"/>
      <c r="E515" s="62"/>
      <c r="G515" s="62"/>
      <c r="H515" s="62"/>
      <c r="I515" s="62"/>
      <c r="L515" s="62"/>
      <c r="Q515" s="62"/>
      <c r="R515" s="62"/>
      <c r="T515" s="62"/>
      <c r="U515" s="62"/>
    </row>
    <row r="516" spans="3:21" ht="15.75" customHeight="1">
      <c r="C516" s="62"/>
      <c r="D516" s="62"/>
      <c r="E516" s="62"/>
      <c r="G516" s="62"/>
      <c r="H516" s="62"/>
      <c r="I516" s="62"/>
      <c r="L516" s="62"/>
      <c r="Q516" s="62"/>
      <c r="R516" s="62"/>
      <c r="T516" s="62"/>
      <c r="U516" s="62"/>
    </row>
    <row r="517" spans="3:21" ht="15.75" customHeight="1">
      <c r="C517" s="62"/>
      <c r="D517" s="62"/>
      <c r="E517" s="62"/>
      <c r="G517" s="62"/>
      <c r="H517" s="62"/>
      <c r="I517" s="62"/>
      <c r="L517" s="62"/>
      <c r="Q517" s="62"/>
      <c r="R517" s="62"/>
      <c r="T517" s="62"/>
      <c r="U517" s="62"/>
    </row>
    <row r="518" spans="3:21" ht="15.75" customHeight="1">
      <c r="C518" s="62"/>
      <c r="D518" s="62"/>
      <c r="E518" s="62"/>
      <c r="G518" s="62"/>
      <c r="H518" s="62"/>
      <c r="I518" s="62"/>
      <c r="L518" s="62"/>
      <c r="Q518" s="62"/>
      <c r="R518" s="62"/>
      <c r="T518" s="62"/>
      <c r="U518" s="62"/>
    </row>
    <row r="519" spans="3:21" ht="15.75" customHeight="1">
      <c r="C519" s="62"/>
      <c r="D519" s="62"/>
      <c r="E519" s="62"/>
      <c r="G519" s="62"/>
      <c r="H519" s="62"/>
      <c r="I519" s="62"/>
      <c r="L519" s="62"/>
      <c r="Q519" s="62"/>
      <c r="R519" s="62"/>
      <c r="T519" s="62"/>
      <c r="U519" s="62"/>
    </row>
    <row r="520" spans="3:21" ht="15.75" customHeight="1">
      <c r="C520" s="62"/>
      <c r="D520" s="62"/>
      <c r="E520" s="62"/>
      <c r="G520" s="62"/>
      <c r="H520" s="62"/>
      <c r="I520" s="62"/>
      <c r="L520" s="62"/>
      <c r="Q520" s="62"/>
      <c r="R520" s="62"/>
      <c r="T520" s="62"/>
      <c r="U520" s="62"/>
    </row>
    <row r="521" spans="3:21" ht="15.75" customHeight="1">
      <c r="C521" s="62"/>
      <c r="D521" s="62"/>
      <c r="E521" s="62"/>
      <c r="G521" s="62"/>
      <c r="H521" s="62"/>
      <c r="I521" s="62"/>
      <c r="L521" s="62"/>
      <c r="Q521" s="62"/>
      <c r="R521" s="62"/>
      <c r="T521" s="62"/>
      <c r="U521" s="62"/>
    </row>
    <row r="522" spans="3:21" ht="15.75" customHeight="1">
      <c r="C522" s="62"/>
      <c r="D522" s="62"/>
      <c r="E522" s="62"/>
      <c r="G522" s="62"/>
      <c r="H522" s="62"/>
      <c r="I522" s="62"/>
      <c r="L522" s="62"/>
      <c r="Q522" s="62"/>
      <c r="R522" s="62"/>
      <c r="T522" s="62"/>
      <c r="U522" s="62"/>
    </row>
    <row r="523" spans="3:21" ht="15.75" customHeight="1">
      <c r="C523" s="62"/>
      <c r="D523" s="62"/>
      <c r="E523" s="62"/>
      <c r="G523" s="62"/>
      <c r="H523" s="62"/>
      <c r="I523" s="62"/>
      <c r="L523" s="62"/>
      <c r="Q523" s="62"/>
      <c r="R523" s="62"/>
      <c r="T523" s="62"/>
      <c r="U523" s="62"/>
    </row>
    <row r="524" spans="3:21" ht="15.75" customHeight="1">
      <c r="C524" s="62"/>
      <c r="D524" s="62"/>
      <c r="E524" s="62"/>
      <c r="G524" s="62"/>
      <c r="H524" s="62"/>
      <c r="I524" s="62"/>
      <c r="L524" s="62"/>
      <c r="Q524" s="62"/>
      <c r="R524" s="62"/>
      <c r="T524" s="62"/>
      <c r="U524" s="62"/>
    </row>
    <row r="525" spans="3:21" ht="15.75" customHeight="1">
      <c r="C525" s="62"/>
      <c r="D525" s="62"/>
      <c r="E525" s="62"/>
      <c r="G525" s="62"/>
      <c r="H525" s="62"/>
      <c r="I525" s="62"/>
      <c r="L525" s="62"/>
      <c r="Q525" s="62"/>
      <c r="R525" s="62"/>
      <c r="T525" s="62"/>
      <c r="U525" s="62"/>
    </row>
    <row r="526" spans="3:21" ht="15.75" customHeight="1">
      <c r="C526" s="62"/>
      <c r="D526" s="62"/>
      <c r="E526" s="62"/>
      <c r="G526" s="62"/>
      <c r="H526" s="62"/>
      <c r="I526" s="62"/>
      <c r="L526" s="62"/>
      <c r="Q526" s="62"/>
      <c r="R526" s="62"/>
      <c r="T526" s="62"/>
      <c r="U526" s="62"/>
    </row>
    <row r="527" spans="3:21" ht="15.75" customHeight="1">
      <c r="C527" s="62"/>
      <c r="D527" s="62"/>
      <c r="E527" s="62"/>
      <c r="G527" s="62"/>
      <c r="H527" s="62"/>
      <c r="I527" s="62"/>
      <c r="L527" s="62"/>
      <c r="Q527" s="62"/>
      <c r="R527" s="62"/>
      <c r="T527" s="62"/>
      <c r="U527" s="62"/>
    </row>
    <row r="528" spans="3:21" ht="15.75" customHeight="1">
      <c r="C528" s="62"/>
      <c r="D528" s="62"/>
      <c r="E528" s="62"/>
      <c r="G528" s="62"/>
      <c r="H528" s="62"/>
      <c r="I528" s="62"/>
      <c r="L528" s="62"/>
      <c r="Q528" s="62"/>
      <c r="R528" s="62"/>
      <c r="T528" s="62"/>
      <c r="U528" s="62"/>
    </row>
    <row r="529" spans="3:21" ht="15.75" customHeight="1">
      <c r="C529" s="62"/>
      <c r="D529" s="62"/>
      <c r="E529" s="62"/>
      <c r="G529" s="62"/>
      <c r="H529" s="62"/>
      <c r="I529" s="62"/>
      <c r="L529" s="62"/>
      <c r="Q529" s="62"/>
      <c r="R529" s="62"/>
      <c r="T529" s="62"/>
      <c r="U529" s="62"/>
    </row>
    <row r="530" spans="3:21" ht="15.75" customHeight="1">
      <c r="C530" s="62"/>
      <c r="D530" s="62"/>
      <c r="E530" s="62"/>
      <c r="G530" s="62"/>
      <c r="H530" s="62"/>
      <c r="I530" s="62"/>
      <c r="L530" s="62"/>
      <c r="Q530" s="62"/>
      <c r="R530" s="62"/>
      <c r="T530" s="62"/>
      <c r="U530" s="62"/>
    </row>
    <row r="531" spans="3:21" ht="15.75" customHeight="1">
      <c r="C531" s="62"/>
      <c r="D531" s="62"/>
      <c r="E531" s="62"/>
      <c r="G531" s="62"/>
      <c r="H531" s="62"/>
      <c r="I531" s="62"/>
      <c r="L531" s="62"/>
      <c r="Q531" s="62"/>
      <c r="R531" s="62"/>
      <c r="T531" s="62"/>
      <c r="U531" s="62"/>
    </row>
    <row r="532" spans="3:21" ht="15.75" customHeight="1">
      <c r="C532" s="62"/>
      <c r="D532" s="62"/>
      <c r="E532" s="62"/>
      <c r="G532" s="62"/>
      <c r="H532" s="62"/>
      <c r="I532" s="62"/>
      <c r="L532" s="62"/>
      <c r="Q532" s="62"/>
      <c r="R532" s="62"/>
      <c r="T532" s="62"/>
      <c r="U532" s="62"/>
    </row>
    <row r="533" spans="3:21" ht="15.75" customHeight="1">
      <c r="C533" s="62"/>
      <c r="D533" s="62"/>
      <c r="E533" s="62"/>
      <c r="G533" s="62"/>
      <c r="H533" s="62"/>
      <c r="I533" s="62"/>
      <c r="L533" s="62"/>
      <c r="Q533" s="62"/>
      <c r="R533" s="62"/>
      <c r="T533" s="62"/>
      <c r="U533" s="62"/>
    </row>
    <row r="534" spans="3:21" ht="15.75" customHeight="1">
      <c r="C534" s="62"/>
      <c r="D534" s="62"/>
      <c r="E534" s="62"/>
      <c r="G534" s="62"/>
      <c r="H534" s="62"/>
      <c r="I534" s="62"/>
      <c r="L534" s="62"/>
      <c r="Q534" s="62"/>
      <c r="R534" s="62"/>
      <c r="T534" s="62"/>
      <c r="U534" s="62"/>
    </row>
    <row r="535" spans="3:21" ht="15.75" customHeight="1">
      <c r="C535" s="62"/>
      <c r="D535" s="62"/>
      <c r="E535" s="62"/>
      <c r="G535" s="62"/>
      <c r="H535" s="62"/>
      <c r="I535" s="62"/>
      <c r="L535" s="62"/>
      <c r="Q535" s="62"/>
      <c r="R535" s="62"/>
      <c r="T535" s="62"/>
      <c r="U535" s="62"/>
    </row>
    <row r="536" spans="3:21" ht="15.75" customHeight="1">
      <c r="C536" s="62"/>
      <c r="D536" s="62"/>
      <c r="E536" s="62"/>
      <c r="G536" s="62"/>
      <c r="H536" s="62"/>
      <c r="I536" s="62"/>
      <c r="L536" s="62"/>
      <c r="Q536" s="62"/>
      <c r="R536" s="62"/>
      <c r="T536" s="62"/>
      <c r="U536" s="62"/>
    </row>
    <row r="537" spans="3:21" ht="15.75" customHeight="1">
      <c r="C537" s="62"/>
      <c r="D537" s="62"/>
      <c r="E537" s="62"/>
      <c r="G537" s="62"/>
      <c r="H537" s="62"/>
      <c r="I537" s="62"/>
      <c r="L537" s="62"/>
      <c r="Q537" s="62"/>
      <c r="R537" s="62"/>
      <c r="T537" s="62"/>
      <c r="U537" s="62"/>
    </row>
    <row r="538" spans="3:21" ht="15.75" customHeight="1">
      <c r="C538" s="62"/>
      <c r="D538" s="62"/>
      <c r="E538" s="62"/>
      <c r="G538" s="62"/>
      <c r="H538" s="62"/>
      <c r="I538" s="62"/>
      <c r="L538" s="62"/>
      <c r="Q538" s="62"/>
      <c r="R538" s="62"/>
      <c r="T538" s="62"/>
      <c r="U538" s="62"/>
    </row>
    <row r="539" spans="3:21" ht="15.75" customHeight="1">
      <c r="C539" s="62"/>
      <c r="D539" s="62"/>
      <c r="E539" s="62"/>
      <c r="G539" s="62"/>
      <c r="H539" s="62"/>
      <c r="I539" s="62"/>
      <c r="L539" s="62"/>
      <c r="Q539" s="62"/>
      <c r="R539" s="62"/>
      <c r="T539" s="62"/>
      <c r="U539" s="62"/>
    </row>
    <row r="540" spans="3:21" ht="15.75" customHeight="1">
      <c r="C540" s="62"/>
      <c r="D540" s="62"/>
      <c r="E540" s="62"/>
      <c r="G540" s="62"/>
      <c r="H540" s="62"/>
      <c r="I540" s="62"/>
      <c r="L540" s="62"/>
      <c r="Q540" s="62"/>
      <c r="R540" s="62"/>
      <c r="T540" s="62"/>
      <c r="U540" s="62"/>
    </row>
    <row r="541" spans="3:21" ht="15.75" customHeight="1">
      <c r="C541" s="62"/>
      <c r="D541" s="62"/>
      <c r="E541" s="62"/>
      <c r="G541" s="62"/>
      <c r="H541" s="62"/>
      <c r="I541" s="62"/>
      <c r="L541" s="62"/>
      <c r="Q541" s="62"/>
      <c r="R541" s="62"/>
      <c r="T541" s="62"/>
      <c r="U541" s="62"/>
    </row>
    <row r="542" spans="3:21" ht="15.75" customHeight="1">
      <c r="C542" s="62"/>
      <c r="D542" s="62"/>
      <c r="E542" s="62"/>
      <c r="G542" s="62"/>
      <c r="H542" s="62"/>
      <c r="I542" s="62"/>
      <c r="L542" s="62"/>
      <c r="Q542" s="62"/>
      <c r="R542" s="62"/>
      <c r="T542" s="62"/>
      <c r="U542" s="62"/>
    </row>
    <row r="543" spans="3:21" ht="15.75" customHeight="1">
      <c r="C543" s="62"/>
      <c r="D543" s="62"/>
      <c r="E543" s="62"/>
      <c r="G543" s="62"/>
      <c r="H543" s="62"/>
      <c r="I543" s="62"/>
      <c r="L543" s="62"/>
      <c r="Q543" s="62"/>
      <c r="R543" s="62"/>
      <c r="T543" s="62"/>
      <c r="U543" s="62"/>
    </row>
    <row r="544" spans="3:21" ht="15.75" customHeight="1">
      <c r="C544" s="62"/>
      <c r="D544" s="62"/>
      <c r="E544" s="62"/>
      <c r="G544" s="62"/>
      <c r="H544" s="62"/>
      <c r="I544" s="62"/>
      <c r="L544" s="62"/>
      <c r="Q544" s="62"/>
      <c r="R544" s="62"/>
      <c r="T544" s="62"/>
      <c r="U544" s="62"/>
    </row>
    <row r="545" spans="3:21" ht="15.75" customHeight="1">
      <c r="C545" s="62"/>
      <c r="D545" s="62"/>
      <c r="E545" s="62"/>
      <c r="G545" s="62"/>
      <c r="H545" s="62"/>
      <c r="I545" s="62"/>
      <c r="L545" s="62"/>
      <c r="Q545" s="62"/>
      <c r="R545" s="62"/>
      <c r="T545" s="62"/>
      <c r="U545" s="62"/>
    </row>
    <row r="546" spans="3:21" ht="15.75" customHeight="1">
      <c r="C546" s="62"/>
      <c r="D546" s="62"/>
      <c r="E546" s="62"/>
      <c r="G546" s="62"/>
      <c r="H546" s="62"/>
      <c r="I546" s="62"/>
      <c r="L546" s="62"/>
      <c r="Q546" s="62"/>
      <c r="R546" s="62"/>
      <c r="T546" s="62"/>
      <c r="U546" s="62"/>
    </row>
    <row r="547" spans="3:21" ht="15.75" customHeight="1">
      <c r="C547" s="62"/>
      <c r="D547" s="62"/>
      <c r="E547" s="62"/>
      <c r="G547" s="62"/>
      <c r="H547" s="62"/>
      <c r="I547" s="62"/>
      <c r="L547" s="62"/>
      <c r="Q547" s="62"/>
      <c r="R547" s="62"/>
      <c r="T547" s="62"/>
      <c r="U547" s="62"/>
    </row>
    <row r="548" spans="3:21" ht="15.75" customHeight="1">
      <c r="C548" s="62"/>
      <c r="D548" s="62"/>
      <c r="E548" s="62"/>
      <c r="G548" s="62"/>
      <c r="H548" s="62"/>
      <c r="I548" s="62"/>
      <c r="L548" s="62"/>
      <c r="Q548" s="62"/>
      <c r="R548" s="62"/>
      <c r="T548" s="62"/>
      <c r="U548" s="62"/>
    </row>
    <row r="549" spans="3:21" ht="15.75" customHeight="1">
      <c r="C549" s="62"/>
      <c r="D549" s="62"/>
      <c r="E549" s="62"/>
      <c r="G549" s="62"/>
      <c r="H549" s="62"/>
      <c r="I549" s="62"/>
      <c r="L549" s="62"/>
      <c r="Q549" s="62"/>
      <c r="R549" s="62"/>
      <c r="T549" s="62"/>
      <c r="U549" s="62"/>
    </row>
    <row r="550" spans="3:21" ht="15.75" customHeight="1">
      <c r="C550" s="62"/>
      <c r="D550" s="62"/>
      <c r="E550" s="62"/>
      <c r="G550" s="62"/>
      <c r="H550" s="62"/>
      <c r="I550" s="62"/>
      <c r="L550" s="62"/>
      <c r="Q550" s="62"/>
      <c r="R550" s="62"/>
      <c r="T550" s="62"/>
      <c r="U550" s="62"/>
    </row>
    <row r="551" spans="3:21" ht="15.75" customHeight="1">
      <c r="C551" s="62"/>
      <c r="D551" s="62"/>
      <c r="E551" s="62"/>
      <c r="G551" s="62"/>
      <c r="H551" s="62"/>
      <c r="I551" s="62"/>
      <c r="L551" s="62"/>
      <c r="Q551" s="62"/>
      <c r="R551" s="62"/>
      <c r="T551" s="62"/>
      <c r="U551" s="62"/>
    </row>
    <row r="552" spans="3:21" ht="15.75" customHeight="1">
      <c r="C552" s="62"/>
      <c r="D552" s="62"/>
      <c r="E552" s="62"/>
      <c r="G552" s="62"/>
      <c r="H552" s="62"/>
      <c r="I552" s="62"/>
      <c r="L552" s="62"/>
      <c r="Q552" s="62"/>
      <c r="R552" s="62"/>
      <c r="T552" s="62"/>
      <c r="U552" s="62"/>
    </row>
    <row r="553" spans="3:21" ht="15.75" customHeight="1">
      <c r="C553" s="62"/>
      <c r="D553" s="62"/>
      <c r="E553" s="62"/>
      <c r="G553" s="62"/>
      <c r="H553" s="62"/>
      <c r="I553" s="62"/>
      <c r="L553" s="62"/>
      <c r="Q553" s="62"/>
      <c r="R553" s="62"/>
      <c r="T553" s="62"/>
      <c r="U553" s="62"/>
    </row>
    <row r="554" spans="3:21" ht="15.75" customHeight="1">
      <c r="C554" s="62"/>
      <c r="D554" s="62"/>
      <c r="E554" s="62"/>
      <c r="G554" s="62"/>
      <c r="H554" s="62"/>
      <c r="I554" s="62"/>
      <c r="L554" s="62"/>
      <c r="Q554" s="62"/>
      <c r="R554" s="62"/>
      <c r="T554" s="62"/>
      <c r="U554" s="62"/>
    </row>
    <row r="555" spans="3:21" ht="15.75" customHeight="1">
      <c r="C555" s="62"/>
      <c r="D555" s="62"/>
      <c r="E555" s="62"/>
      <c r="G555" s="62"/>
      <c r="H555" s="62"/>
      <c r="I555" s="62"/>
      <c r="L555" s="62"/>
      <c r="Q555" s="62"/>
      <c r="R555" s="62"/>
      <c r="T555" s="62"/>
      <c r="U555" s="62"/>
    </row>
    <row r="556" spans="3:21" ht="15.75" customHeight="1">
      <c r="C556" s="62"/>
      <c r="D556" s="62"/>
      <c r="E556" s="62"/>
      <c r="G556" s="62"/>
      <c r="H556" s="62"/>
      <c r="I556" s="62"/>
      <c r="L556" s="62"/>
      <c r="Q556" s="62"/>
      <c r="R556" s="62"/>
      <c r="T556" s="62"/>
      <c r="U556" s="62"/>
    </row>
    <row r="557" spans="3:21" ht="15.75" customHeight="1">
      <c r="C557" s="62"/>
      <c r="D557" s="62"/>
      <c r="E557" s="62"/>
      <c r="G557" s="62"/>
      <c r="H557" s="62"/>
      <c r="I557" s="62"/>
      <c r="L557" s="62"/>
      <c r="Q557" s="62"/>
      <c r="R557" s="62"/>
      <c r="T557" s="62"/>
      <c r="U557" s="62"/>
    </row>
    <row r="558" spans="3:21" ht="15.75" customHeight="1">
      <c r="C558" s="62"/>
      <c r="D558" s="62"/>
      <c r="E558" s="62"/>
      <c r="G558" s="62"/>
      <c r="H558" s="62"/>
      <c r="I558" s="62"/>
      <c r="L558" s="62"/>
      <c r="Q558" s="62"/>
      <c r="R558" s="62"/>
      <c r="T558" s="62"/>
      <c r="U558" s="62"/>
    </row>
    <row r="559" spans="3:21" ht="15.75" customHeight="1">
      <c r="C559" s="62"/>
      <c r="D559" s="62"/>
      <c r="E559" s="62"/>
      <c r="G559" s="62"/>
      <c r="H559" s="62"/>
      <c r="I559" s="62"/>
      <c r="L559" s="62"/>
      <c r="Q559" s="62"/>
      <c r="R559" s="62"/>
      <c r="T559" s="62"/>
      <c r="U559" s="62"/>
    </row>
    <row r="560" spans="3:21" ht="15.75" customHeight="1">
      <c r="C560" s="62"/>
      <c r="D560" s="62"/>
      <c r="E560" s="62"/>
      <c r="G560" s="62"/>
      <c r="H560" s="62"/>
      <c r="I560" s="62"/>
      <c r="L560" s="62"/>
      <c r="Q560" s="62"/>
      <c r="R560" s="62"/>
      <c r="T560" s="62"/>
      <c r="U560" s="62"/>
    </row>
    <row r="561" spans="3:21" ht="15.75" customHeight="1">
      <c r="C561" s="62"/>
      <c r="D561" s="62"/>
      <c r="E561" s="62"/>
      <c r="G561" s="62"/>
      <c r="H561" s="62"/>
      <c r="I561" s="62"/>
      <c r="L561" s="62"/>
      <c r="Q561" s="62"/>
      <c r="R561" s="62"/>
      <c r="T561" s="62"/>
      <c r="U561" s="62"/>
    </row>
    <row r="562" spans="3:21" ht="15.75" customHeight="1">
      <c r="C562" s="62"/>
      <c r="D562" s="62"/>
      <c r="E562" s="62"/>
      <c r="G562" s="62"/>
      <c r="H562" s="62"/>
      <c r="I562" s="62"/>
      <c r="L562" s="62"/>
      <c r="Q562" s="62"/>
      <c r="R562" s="62"/>
      <c r="T562" s="62"/>
      <c r="U562" s="62"/>
    </row>
    <row r="563" spans="3:21" ht="15.75" customHeight="1">
      <c r="C563" s="62"/>
      <c r="D563" s="62"/>
      <c r="E563" s="62"/>
      <c r="G563" s="62"/>
      <c r="H563" s="62"/>
      <c r="I563" s="62"/>
      <c r="L563" s="62"/>
      <c r="Q563" s="62"/>
      <c r="R563" s="62"/>
      <c r="T563" s="62"/>
      <c r="U563" s="62"/>
    </row>
    <row r="564" spans="3:21" ht="15.75" customHeight="1">
      <c r="C564" s="62"/>
      <c r="D564" s="62"/>
      <c r="E564" s="62"/>
      <c r="G564" s="62"/>
      <c r="H564" s="62"/>
      <c r="I564" s="62"/>
      <c r="L564" s="62"/>
      <c r="Q564" s="62"/>
      <c r="R564" s="62"/>
      <c r="T564" s="62"/>
      <c r="U564" s="62"/>
    </row>
    <row r="565" spans="3:21" ht="15.75" customHeight="1">
      <c r="C565" s="62"/>
      <c r="D565" s="62"/>
      <c r="E565" s="62"/>
      <c r="G565" s="62"/>
      <c r="H565" s="62"/>
      <c r="I565" s="62"/>
      <c r="L565" s="62"/>
      <c r="Q565" s="62"/>
      <c r="R565" s="62"/>
      <c r="T565" s="62"/>
      <c r="U565" s="62"/>
    </row>
    <row r="566" spans="3:21" ht="15.75" customHeight="1">
      <c r="C566" s="62"/>
      <c r="D566" s="62"/>
      <c r="E566" s="62"/>
      <c r="G566" s="62"/>
      <c r="H566" s="62"/>
      <c r="I566" s="62"/>
      <c r="L566" s="62"/>
      <c r="Q566" s="62"/>
      <c r="R566" s="62"/>
      <c r="T566" s="62"/>
      <c r="U566" s="62"/>
    </row>
    <row r="567" spans="3:21" ht="15.75" customHeight="1">
      <c r="C567" s="62"/>
      <c r="D567" s="62"/>
      <c r="E567" s="62"/>
      <c r="G567" s="62"/>
      <c r="H567" s="62"/>
      <c r="I567" s="62"/>
      <c r="L567" s="62"/>
      <c r="Q567" s="62"/>
      <c r="R567" s="62"/>
      <c r="T567" s="62"/>
      <c r="U567" s="62"/>
    </row>
    <row r="568" spans="3:21" ht="15.75" customHeight="1">
      <c r="C568" s="62"/>
      <c r="D568" s="62"/>
      <c r="E568" s="62"/>
      <c r="G568" s="62"/>
      <c r="H568" s="62"/>
      <c r="I568" s="62"/>
      <c r="L568" s="62"/>
      <c r="Q568" s="62"/>
      <c r="R568" s="62"/>
      <c r="T568" s="62"/>
      <c r="U568" s="62"/>
    </row>
    <row r="569" spans="3:21" ht="15.75" customHeight="1">
      <c r="C569" s="62"/>
      <c r="D569" s="62"/>
      <c r="E569" s="62"/>
      <c r="G569" s="62"/>
      <c r="H569" s="62"/>
      <c r="I569" s="62"/>
      <c r="L569" s="62"/>
      <c r="Q569" s="62"/>
      <c r="R569" s="62"/>
      <c r="T569" s="62"/>
      <c r="U569" s="62"/>
    </row>
    <row r="570" spans="3:21" ht="15.75" customHeight="1">
      <c r="C570" s="62"/>
      <c r="D570" s="62"/>
      <c r="E570" s="62"/>
      <c r="G570" s="62"/>
      <c r="H570" s="62"/>
      <c r="I570" s="62"/>
      <c r="L570" s="62"/>
      <c r="Q570" s="62"/>
      <c r="R570" s="62"/>
      <c r="T570" s="62"/>
      <c r="U570" s="62"/>
    </row>
    <row r="571" spans="3:21" ht="15.75" customHeight="1">
      <c r="C571" s="62"/>
      <c r="D571" s="62"/>
      <c r="E571" s="62"/>
      <c r="G571" s="62"/>
      <c r="H571" s="62"/>
      <c r="I571" s="62"/>
      <c r="L571" s="62"/>
      <c r="Q571" s="62"/>
      <c r="R571" s="62"/>
      <c r="T571" s="62"/>
      <c r="U571" s="62"/>
    </row>
    <row r="572" spans="3:21" ht="15.75" customHeight="1">
      <c r="C572" s="62"/>
      <c r="D572" s="62"/>
      <c r="E572" s="62"/>
      <c r="G572" s="62"/>
      <c r="H572" s="62"/>
      <c r="I572" s="62"/>
      <c r="L572" s="62"/>
      <c r="Q572" s="62"/>
      <c r="R572" s="62"/>
      <c r="T572" s="62"/>
      <c r="U572" s="62"/>
    </row>
    <row r="573" spans="3:21" ht="15.75" customHeight="1">
      <c r="C573" s="62"/>
      <c r="D573" s="62"/>
      <c r="E573" s="62"/>
      <c r="G573" s="62"/>
      <c r="H573" s="62"/>
      <c r="I573" s="62"/>
      <c r="L573" s="62"/>
      <c r="Q573" s="62"/>
      <c r="R573" s="62"/>
      <c r="T573" s="62"/>
      <c r="U573" s="62"/>
    </row>
    <row r="574" spans="3:21" ht="15.75" customHeight="1">
      <c r="C574" s="62"/>
      <c r="D574" s="62"/>
      <c r="E574" s="62"/>
      <c r="G574" s="62"/>
      <c r="H574" s="62"/>
      <c r="I574" s="62"/>
      <c r="L574" s="62"/>
      <c r="Q574" s="62"/>
      <c r="R574" s="62"/>
      <c r="T574" s="62"/>
      <c r="U574" s="62"/>
    </row>
    <row r="575" spans="3:21" ht="15.75" customHeight="1">
      <c r="C575" s="62"/>
      <c r="D575" s="62"/>
      <c r="E575" s="62"/>
      <c r="G575" s="62"/>
      <c r="H575" s="62"/>
      <c r="I575" s="62"/>
      <c r="L575" s="62"/>
      <c r="Q575" s="62"/>
      <c r="R575" s="62"/>
      <c r="T575" s="62"/>
      <c r="U575" s="62"/>
    </row>
    <row r="576" spans="3:21" ht="15.75" customHeight="1">
      <c r="C576" s="62"/>
      <c r="D576" s="62"/>
      <c r="E576" s="62"/>
      <c r="G576" s="62"/>
      <c r="H576" s="62"/>
      <c r="I576" s="62"/>
      <c r="L576" s="62"/>
      <c r="Q576" s="62"/>
      <c r="R576" s="62"/>
      <c r="T576" s="62"/>
      <c r="U576" s="62"/>
    </row>
    <row r="577" spans="3:21" ht="15.75" customHeight="1">
      <c r="C577" s="62"/>
      <c r="D577" s="62"/>
      <c r="E577" s="62"/>
      <c r="G577" s="62"/>
      <c r="H577" s="62"/>
      <c r="I577" s="62"/>
      <c r="L577" s="62"/>
      <c r="Q577" s="62"/>
      <c r="R577" s="62"/>
      <c r="T577" s="62"/>
      <c r="U577" s="62"/>
    </row>
    <row r="578" spans="3:21" ht="15.75" customHeight="1">
      <c r="C578" s="62"/>
      <c r="D578" s="62"/>
      <c r="E578" s="62"/>
      <c r="G578" s="62"/>
      <c r="H578" s="62"/>
      <c r="I578" s="62"/>
      <c r="L578" s="62"/>
      <c r="Q578" s="62"/>
      <c r="R578" s="62"/>
      <c r="T578" s="62"/>
      <c r="U578" s="62"/>
    </row>
    <row r="579" spans="3:21" ht="15.75" customHeight="1">
      <c r="C579" s="62"/>
      <c r="D579" s="62"/>
      <c r="E579" s="62"/>
      <c r="G579" s="62"/>
      <c r="H579" s="62"/>
      <c r="I579" s="62"/>
      <c r="L579" s="62"/>
      <c r="Q579" s="62"/>
      <c r="R579" s="62"/>
      <c r="T579" s="62"/>
      <c r="U579" s="62"/>
    </row>
    <row r="580" spans="3:21" ht="15.75" customHeight="1">
      <c r="C580" s="62"/>
      <c r="D580" s="62"/>
      <c r="E580" s="62"/>
      <c r="G580" s="62"/>
      <c r="H580" s="62"/>
      <c r="I580" s="62"/>
      <c r="L580" s="62"/>
      <c r="Q580" s="62"/>
      <c r="R580" s="62"/>
      <c r="T580" s="62"/>
      <c r="U580" s="62"/>
    </row>
    <row r="581" spans="3:21" ht="15.75" customHeight="1">
      <c r="C581" s="62"/>
      <c r="D581" s="62"/>
      <c r="E581" s="62"/>
      <c r="G581" s="62"/>
      <c r="H581" s="62"/>
      <c r="I581" s="62"/>
      <c r="L581" s="62"/>
      <c r="Q581" s="62"/>
      <c r="R581" s="62"/>
      <c r="T581" s="62"/>
      <c r="U581" s="62"/>
    </row>
    <row r="582" spans="3:21" ht="15.75" customHeight="1">
      <c r="C582" s="62"/>
      <c r="D582" s="62"/>
      <c r="E582" s="62"/>
      <c r="G582" s="62"/>
      <c r="H582" s="62"/>
      <c r="I582" s="62"/>
      <c r="L582" s="62"/>
      <c r="Q582" s="62"/>
      <c r="R582" s="62"/>
      <c r="T582" s="62"/>
      <c r="U582" s="62"/>
    </row>
    <row r="583" spans="3:21" ht="15.75" customHeight="1">
      <c r="C583" s="62"/>
      <c r="D583" s="62"/>
      <c r="E583" s="62"/>
      <c r="G583" s="62"/>
      <c r="H583" s="62"/>
      <c r="I583" s="62"/>
      <c r="L583" s="62"/>
      <c r="Q583" s="62"/>
      <c r="R583" s="62"/>
      <c r="T583" s="62"/>
      <c r="U583" s="62"/>
    </row>
    <row r="584" spans="3:21" ht="15.75" customHeight="1">
      <c r="C584" s="62"/>
      <c r="D584" s="62"/>
      <c r="E584" s="62"/>
      <c r="G584" s="62"/>
      <c r="H584" s="62"/>
      <c r="I584" s="62"/>
      <c r="L584" s="62"/>
      <c r="Q584" s="62"/>
      <c r="R584" s="62"/>
      <c r="T584" s="62"/>
      <c r="U584" s="62"/>
    </row>
    <row r="585" spans="3:21" ht="15.75" customHeight="1">
      <c r="C585" s="62"/>
      <c r="D585" s="62"/>
      <c r="E585" s="62"/>
      <c r="G585" s="62"/>
      <c r="H585" s="62"/>
      <c r="I585" s="62"/>
      <c r="L585" s="62"/>
      <c r="Q585" s="62"/>
      <c r="R585" s="62"/>
      <c r="T585" s="62"/>
      <c r="U585" s="62"/>
    </row>
    <row r="586" spans="3:21" ht="15.75" customHeight="1">
      <c r="C586" s="62"/>
      <c r="D586" s="62"/>
      <c r="E586" s="62"/>
      <c r="G586" s="62"/>
      <c r="H586" s="62"/>
      <c r="I586" s="62"/>
      <c r="L586" s="62"/>
      <c r="Q586" s="62"/>
      <c r="R586" s="62"/>
      <c r="T586" s="62"/>
      <c r="U586" s="62"/>
    </row>
    <row r="587" spans="3:21" ht="15.75" customHeight="1">
      <c r="C587" s="62"/>
      <c r="D587" s="62"/>
      <c r="E587" s="62"/>
      <c r="G587" s="62"/>
      <c r="H587" s="62"/>
      <c r="I587" s="62"/>
      <c r="L587" s="62"/>
      <c r="Q587" s="62"/>
      <c r="R587" s="62"/>
      <c r="T587" s="62"/>
      <c r="U587" s="62"/>
    </row>
    <row r="588" spans="3:21" ht="15.75" customHeight="1">
      <c r="C588" s="62"/>
      <c r="D588" s="62"/>
      <c r="E588" s="62"/>
      <c r="G588" s="62"/>
      <c r="H588" s="62"/>
      <c r="I588" s="62"/>
      <c r="L588" s="62"/>
      <c r="Q588" s="62"/>
      <c r="R588" s="62"/>
      <c r="T588" s="62"/>
      <c r="U588" s="62"/>
    </row>
    <row r="589" spans="3:21" ht="15.75" customHeight="1">
      <c r="C589" s="62"/>
      <c r="D589" s="62"/>
      <c r="E589" s="62"/>
      <c r="G589" s="62"/>
      <c r="H589" s="62"/>
      <c r="I589" s="62"/>
      <c r="L589" s="62"/>
      <c r="Q589" s="62"/>
      <c r="R589" s="62"/>
      <c r="T589" s="62"/>
      <c r="U589" s="62"/>
    </row>
    <row r="590" spans="3:21" ht="15.75" customHeight="1">
      <c r="C590" s="62"/>
      <c r="D590" s="62"/>
      <c r="E590" s="62"/>
      <c r="G590" s="62"/>
      <c r="H590" s="62"/>
      <c r="I590" s="62"/>
      <c r="L590" s="62"/>
      <c r="Q590" s="62"/>
      <c r="R590" s="62"/>
      <c r="T590" s="62"/>
      <c r="U590" s="62"/>
    </row>
    <row r="591" spans="3:21" ht="15.75" customHeight="1">
      <c r="C591" s="62"/>
      <c r="D591" s="62"/>
      <c r="E591" s="62"/>
      <c r="G591" s="62"/>
      <c r="H591" s="62"/>
      <c r="I591" s="62"/>
      <c r="L591" s="62"/>
      <c r="Q591" s="62"/>
      <c r="R591" s="62"/>
      <c r="T591" s="62"/>
      <c r="U591" s="62"/>
    </row>
    <row r="592" spans="3:21" ht="15.75" customHeight="1">
      <c r="C592" s="62"/>
      <c r="D592" s="62"/>
      <c r="E592" s="62"/>
      <c r="G592" s="62"/>
      <c r="H592" s="62"/>
      <c r="I592" s="62"/>
      <c r="L592" s="62"/>
      <c r="Q592" s="62"/>
      <c r="R592" s="62"/>
      <c r="T592" s="62"/>
      <c r="U592" s="62"/>
    </row>
    <row r="593" spans="3:21" ht="15.75" customHeight="1">
      <c r="C593" s="62"/>
      <c r="D593" s="62"/>
      <c r="E593" s="62"/>
      <c r="G593" s="62"/>
      <c r="H593" s="62"/>
      <c r="I593" s="62"/>
      <c r="L593" s="62"/>
      <c r="Q593" s="62"/>
      <c r="R593" s="62"/>
      <c r="T593" s="62"/>
      <c r="U593" s="62"/>
    </row>
    <row r="594" spans="3:21" ht="15.75" customHeight="1">
      <c r="C594" s="62"/>
      <c r="D594" s="62"/>
      <c r="E594" s="62"/>
      <c r="G594" s="62"/>
      <c r="H594" s="62"/>
      <c r="I594" s="62"/>
      <c r="L594" s="62"/>
      <c r="Q594" s="62"/>
      <c r="R594" s="62"/>
      <c r="T594" s="62"/>
      <c r="U594" s="62"/>
    </row>
    <row r="595" spans="3:21" ht="15.75" customHeight="1">
      <c r="C595" s="62"/>
      <c r="D595" s="62"/>
      <c r="E595" s="62"/>
      <c r="G595" s="62"/>
      <c r="H595" s="62"/>
      <c r="I595" s="62"/>
      <c r="L595" s="62"/>
      <c r="Q595" s="62"/>
      <c r="R595" s="62"/>
      <c r="T595" s="62"/>
      <c r="U595" s="62"/>
    </row>
    <row r="596" spans="3:21" ht="15.75" customHeight="1">
      <c r="C596" s="62"/>
      <c r="D596" s="62"/>
      <c r="E596" s="62"/>
      <c r="G596" s="62"/>
      <c r="H596" s="62"/>
      <c r="I596" s="62"/>
      <c r="L596" s="62"/>
      <c r="Q596" s="62"/>
      <c r="R596" s="62"/>
      <c r="T596" s="62"/>
      <c r="U596" s="62"/>
    </row>
    <row r="597" spans="3:21" ht="15.75" customHeight="1">
      <c r="C597" s="62"/>
      <c r="D597" s="62"/>
      <c r="E597" s="62"/>
      <c r="G597" s="62"/>
      <c r="H597" s="62"/>
      <c r="I597" s="62"/>
      <c r="L597" s="62"/>
      <c r="Q597" s="62"/>
      <c r="R597" s="62"/>
      <c r="T597" s="62"/>
      <c r="U597" s="62"/>
    </row>
    <row r="598" spans="3:21" ht="15.75" customHeight="1">
      <c r="C598" s="62"/>
      <c r="D598" s="62"/>
      <c r="E598" s="62"/>
      <c r="G598" s="62"/>
      <c r="H598" s="62"/>
      <c r="I598" s="62"/>
      <c r="L598" s="62"/>
      <c r="Q598" s="62"/>
      <c r="R598" s="62"/>
      <c r="T598" s="62"/>
      <c r="U598" s="62"/>
    </row>
    <row r="599" spans="3:21" ht="15.75" customHeight="1">
      <c r="C599" s="62"/>
      <c r="D599" s="62"/>
      <c r="E599" s="62"/>
      <c r="G599" s="62"/>
      <c r="H599" s="62"/>
      <c r="I599" s="62"/>
      <c r="L599" s="62"/>
      <c r="Q599" s="62"/>
      <c r="R599" s="62"/>
      <c r="T599" s="62"/>
      <c r="U599" s="62"/>
    </row>
    <row r="600" spans="3:21" ht="15.75" customHeight="1">
      <c r="C600" s="62"/>
      <c r="D600" s="62"/>
      <c r="E600" s="62"/>
      <c r="G600" s="62"/>
      <c r="H600" s="62"/>
      <c r="I600" s="62"/>
      <c r="L600" s="62"/>
      <c r="Q600" s="62"/>
      <c r="R600" s="62"/>
      <c r="T600" s="62"/>
      <c r="U600" s="62"/>
    </row>
    <row r="601" spans="3:21" ht="15.75" customHeight="1">
      <c r="C601" s="62"/>
      <c r="D601" s="62"/>
      <c r="E601" s="62"/>
      <c r="G601" s="62"/>
      <c r="H601" s="62"/>
      <c r="I601" s="62"/>
      <c r="L601" s="62"/>
      <c r="Q601" s="62"/>
      <c r="R601" s="62"/>
      <c r="T601" s="62"/>
      <c r="U601" s="62"/>
    </row>
    <row r="602" spans="3:21" ht="15.75" customHeight="1">
      <c r="C602" s="62"/>
      <c r="D602" s="62"/>
      <c r="E602" s="62"/>
      <c r="G602" s="62"/>
      <c r="H602" s="62"/>
      <c r="I602" s="62"/>
      <c r="L602" s="62"/>
      <c r="Q602" s="62"/>
      <c r="R602" s="62"/>
      <c r="T602" s="62"/>
      <c r="U602" s="62"/>
    </row>
    <row r="603" spans="3:21" ht="15.75" customHeight="1">
      <c r="C603" s="62"/>
      <c r="D603" s="62"/>
      <c r="E603" s="62"/>
      <c r="G603" s="62"/>
      <c r="H603" s="62"/>
      <c r="I603" s="62"/>
      <c r="L603" s="62"/>
      <c r="Q603" s="62"/>
      <c r="R603" s="62"/>
      <c r="T603" s="62"/>
      <c r="U603" s="62"/>
    </row>
    <row r="604" spans="3:21" ht="15.75" customHeight="1">
      <c r="C604" s="62"/>
      <c r="D604" s="62"/>
      <c r="E604" s="62"/>
      <c r="G604" s="62"/>
      <c r="H604" s="62"/>
      <c r="I604" s="62"/>
      <c r="L604" s="62"/>
      <c r="Q604" s="62"/>
      <c r="R604" s="62"/>
      <c r="T604" s="62"/>
      <c r="U604" s="62"/>
    </row>
    <row r="605" spans="3:21" ht="15.75" customHeight="1">
      <c r="C605" s="62"/>
      <c r="D605" s="62"/>
      <c r="E605" s="62"/>
      <c r="G605" s="62"/>
      <c r="H605" s="62"/>
      <c r="I605" s="62"/>
      <c r="L605" s="62"/>
      <c r="Q605" s="62"/>
      <c r="R605" s="62"/>
      <c r="T605" s="62"/>
      <c r="U605" s="62"/>
    </row>
    <row r="606" spans="3:21" ht="15.75" customHeight="1">
      <c r="C606" s="62"/>
      <c r="D606" s="62"/>
      <c r="E606" s="62"/>
      <c r="G606" s="62"/>
      <c r="H606" s="62"/>
      <c r="I606" s="62"/>
      <c r="L606" s="62"/>
      <c r="Q606" s="62"/>
      <c r="R606" s="62"/>
      <c r="T606" s="62"/>
      <c r="U606" s="62"/>
    </row>
    <row r="607" spans="3:21" ht="15.75" customHeight="1">
      <c r="C607" s="62"/>
      <c r="D607" s="62"/>
      <c r="E607" s="62"/>
      <c r="G607" s="62"/>
      <c r="H607" s="62"/>
      <c r="I607" s="62"/>
      <c r="L607" s="62"/>
      <c r="Q607" s="62"/>
      <c r="R607" s="62"/>
      <c r="T607" s="62"/>
      <c r="U607" s="62"/>
    </row>
    <row r="608" spans="3:21" ht="15.75" customHeight="1">
      <c r="C608" s="62"/>
      <c r="D608" s="62"/>
      <c r="E608" s="62"/>
      <c r="G608" s="62"/>
      <c r="H608" s="62"/>
      <c r="I608" s="62"/>
      <c r="L608" s="62"/>
      <c r="Q608" s="62"/>
      <c r="R608" s="62"/>
      <c r="T608" s="62"/>
      <c r="U608" s="62"/>
    </row>
    <row r="609" spans="3:21" ht="15.75" customHeight="1">
      <c r="C609" s="62"/>
      <c r="D609" s="62"/>
      <c r="E609" s="62"/>
      <c r="G609" s="62"/>
      <c r="H609" s="62"/>
      <c r="I609" s="62"/>
      <c r="L609" s="62"/>
      <c r="Q609" s="62"/>
      <c r="R609" s="62"/>
      <c r="T609" s="62"/>
      <c r="U609" s="62"/>
    </row>
    <row r="610" spans="3:21" ht="15.75" customHeight="1">
      <c r="C610" s="62"/>
      <c r="D610" s="62"/>
      <c r="E610" s="62"/>
      <c r="G610" s="62"/>
      <c r="H610" s="62"/>
      <c r="I610" s="62"/>
      <c r="L610" s="62"/>
      <c r="Q610" s="62"/>
      <c r="R610" s="62"/>
      <c r="T610" s="62"/>
      <c r="U610" s="62"/>
    </row>
    <row r="611" spans="3:21" ht="15.75" customHeight="1">
      <c r="C611" s="62"/>
      <c r="D611" s="62"/>
      <c r="E611" s="62"/>
      <c r="G611" s="62"/>
      <c r="H611" s="62"/>
      <c r="I611" s="62"/>
      <c r="L611" s="62"/>
      <c r="Q611" s="62"/>
      <c r="R611" s="62"/>
      <c r="T611" s="62"/>
      <c r="U611" s="62"/>
    </row>
    <row r="612" spans="3:21" ht="15.75" customHeight="1">
      <c r="C612" s="62"/>
      <c r="D612" s="62"/>
      <c r="E612" s="62"/>
      <c r="G612" s="62"/>
      <c r="H612" s="62"/>
      <c r="I612" s="62"/>
      <c r="L612" s="62"/>
      <c r="Q612" s="62"/>
      <c r="R612" s="62"/>
      <c r="T612" s="62"/>
      <c r="U612" s="62"/>
    </row>
    <row r="613" spans="3:21" ht="15.75" customHeight="1">
      <c r="C613" s="62"/>
      <c r="D613" s="62"/>
      <c r="E613" s="62"/>
      <c r="G613" s="62"/>
      <c r="H613" s="62"/>
      <c r="I613" s="62"/>
      <c r="L613" s="62"/>
      <c r="Q613" s="62"/>
      <c r="R613" s="62"/>
      <c r="T613" s="62"/>
      <c r="U613" s="62"/>
    </row>
    <row r="614" spans="3:21" ht="15.75" customHeight="1">
      <c r="C614" s="62"/>
      <c r="D614" s="62"/>
      <c r="E614" s="62"/>
      <c r="G614" s="62"/>
      <c r="H614" s="62"/>
      <c r="I614" s="62"/>
      <c r="L614" s="62"/>
      <c r="Q614" s="62"/>
      <c r="R614" s="62"/>
      <c r="T614" s="62"/>
      <c r="U614" s="62"/>
    </row>
    <row r="615" spans="3:21" ht="15.75" customHeight="1">
      <c r="C615" s="62"/>
      <c r="D615" s="62"/>
      <c r="E615" s="62"/>
      <c r="G615" s="62"/>
      <c r="H615" s="62"/>
      <c r="I615" s="62"/>
      <c r="L615" s="62"/>
      <c r="Q615" s="62"/>
      <c r="R615" s="62"/>
      <c r="T615" s="62"/>
      <c r="U615" s="62"/>
    </row>
    <row r="616" spans="3:21" ht="15.75" customHeight="1">
      <c r="C616" s="62"/>
      <c r="D616" s="62"/>
      <c r="E616" s="62"/>
      <c r="G616" s="62"/>
      <c r="H616" s="62"/>
      <c r="I616" s="62"/>
      <c r="L616" s="62"/>
      <c r="Q616" s="62"/>
      <c r="R616" s="62"/>
      <c r="T616" s="62"/>
      <c r="U616" s="62"/>
    </row>
    <row r="617" spans="3:21" ht="15.75" customHeight="1">
      <c r="C617" s="62"/>
      <c r="D617" s="62"/>
      <c r="E617" s="62"/>
      <c r="G617" s="62"/>
      <c r="H617" s="62"/>
      <c r="I617" s="62"/>
      <c r="L617" s="62"/>
      <c r="Q617" s="62"/>
      <c r="R617" s="62"/>
      <c r="T617" s="62"/>
      <c r="U617" s="62"/>
    </row>
    <row r="618" spans="3:21" ht="15.75" customHeight="1">
      <c r="C618" s="62"/>
      <c r="D618" s="62"/>
      <c r="E618" s="62"/>
      <c r="G618" s="62"/>
      <c r="H618" s="62"/>
      <c r="I618" s="62"/>
      <c r="L618" s="62"/>
      <c r="Q618" s="62"/>
      <c r="R618" s="62"/>
      <c r="T618" s="62"/>
      <c r="U618" s="62"/>
    </row>
    <row r="619" spans="3:21" ht="15.75" customHeight="1">
      <c r="C619" s="62"/>
      <c r="D619" s="62"/>
      <c r="E619" s="62"/>
      <c r="G619" s="62"/>
      <c r="H619" s="62"/>
      <c r="I619" s="62"/>
      <c r="L619" s="62"/>
      <c r="Q619" s="62"/>
      <c r="R619" s="62"/>
      <c r="T619" s="62"/>
      <c r="U619" s="62"/>
    </row>
    <row r="620" spans="3:21" ht="15.75" customHeight="1">
      <c r="C620" s="62"/>
      <c r="D620" s="62"/>
      <c r="E620" s="62"/>
      <c r="G620" s="62"/>
      <c r="H620" s="62"/>
      <c r="I620" s="62"/>
      <c r="L620" s="62"/>
      <c r="Q620" s="62"/>
      <c r="R620" s="62"/>
      <c r="T620" s="62"/>
      <c r="U620" s="62"/>
    </row>
    <row r="621" spans="3:21" ht="15.75" customHeight="1">
      <c r="C621" s="62"/>
      <c r="D621" s="62"/>
      <c r="E621" s="62"/>
      <c r="G621" s="62"/>
      <c r="H621" s="62"/>
      <c r="I621" s="62"/>
      <c r="L621" s="62"/>
      <c r="Q621" s="62"/>
      <c r="R621" s="62"/>
      <c r="T621" s="62"/>
      <c r="U621" s="62"/>
    </row>
    <row r="622" spans="3:21" ht="15.75" customHeight="1">
      <c r="C622" s="62"/>
      <c r="D622" s="62"/>
      <c r="E622" s="62"/>
      <c r="G622" s="62"/>
      <c r="H622" s="62"/>
      <c r="I622" s="62"/>
      <c r="L622" s="62"/>
      <c r="Q622" s="62"/>
      <c r="R622" s="62"/>
      <c r="T622" s="62"/>
      <c r="U622" s="62"/>
    </row>
    <row r="623" spans="3:21" ht="15.75" customHeight="1">
      <c r="C623" s="62"/>
      <c r="D623" s="62"/>
      <c r="E623" s="62"/>
      <c r="G623" s="62"/>
      <c r="H623" s="62"/>
      <c r="I623" s="62"/>
      <c r="L623" s="62"/>
      <c r="Q623" s="62"/>
      <c r="R623" s="62"/>
      <c r="T623" s="62"/>
      <c r="U623" s="62"/>
    </row>
    <row r="624" spans="3:21" ht="15.75" customHeight="1">
      <c r="C624" s="62"/>
      <c r="D624" s="62"/>
      <c r="E624" s="62"/>
      <c r="G624" s="62"/>
      <c r="H624" s="62"/>
      <c r="I624" s="62"/>
      <c r="L624" s="62"/>
      <c r="Q624" s="62"/>
      <c r="R624" s="62"/>
      <c r="T624" s="62"/>
      <c r="U624" s="62"/>
    </row>
    <row r="625" spans="3:21" ht="15.75" customHeight="1">
      <c r="C625" s="62"/>
      <c r="D625" s="62"/>
      <c r="E625" s="62"/>
      <c r="G625" s="62"/>
      <c r="H625" s="62"/>
      <c r="I625" s="62"/>
      <c r="L625" s="62"/>
      <c r="Q625" s="62"/>
      <c r="R625" s="62"/>
      <c r="T625" s="62"/>
      <c r="U625" s="62"/>
    </row>
    <row r="626" spans="3:21" ht="15.75" customHeight="1">
      <c r="C626" s="62"/>
      <c r="D626" s="62"/>
      <c r="E626" s="62"/>
      <c r="G626" s="62"/>
      <c r="H626" s="62"/>
      <c r="I626" s="62"/>
      <c r="L626" s="62"/>
      <c r="Q626" s="62"/>
      <c r="R626" s="62"/>
      <c r="T626" s="62"/>
      <c r="U626" s="62"/>
    </row>
    <row r="627" spans="3:21" ht="15.75" customHeight="1">
      <c r="C627" s="62"/>
      <c r="D627" s="62"/>
      <c r="E627" s="62"/>
      <c r="G627" s="62"/>
      <c r="H627" s="62"/>
      <c r="I627" s="62"/>
      <c r="L627" s="62"/>
      <c r="Q627" s="62"/>
      <c r="R627" s="62"/>
      <c r="T627" s="62"/>
      <c r="U627" s="62"/>
    </row>
    <row r="628" spans="3:21" ht="15.75" customHeight="1">
      <c r="C628" s="62"/>
      <c r="D628" s="62"/>
      <c r="E628" s="62"/>
      <c r="G628" s="62"/>
      <c r="H628" s="62"/>
      <c r="I628" s="62"/>
      <c r="L628" s="62"/>
      <c r="Q628" s="62"/>
      <c r="R628" s="62"/>
      <c r="T628" s="62"/>
      <c r="U628" s="62"/>
    </row>
    <row r="629" spans="3:21" ht="15.75" customHeight="1">
      <c r="C629" s="62"/>
      <c r="D629" s="62"/>
      <c r="E629" s="62"/>
      <c r="G629" s="62"/>
      <c r="H629" s="62"/>
      <c r="I629" s="62"/>
      <c r="L629" s="62"/>
      <c r="Q629" s="62"/>
      <c r="R629" s="62"/>
      <c r="T629" s="62"/>
      <c r="U629" s="62"/>
    </row>
    <row r="630" spans="3:21" ht="15.75" customHeight="1">
      <c r="C630" s="62"/>
      <c r="D630" s="62"/>
      <c r="E630" s="62"/>
      <c r="G630" s="62"/>
      <c r="H630" s="62"/>
      <c r="I630" s="62"/>
      <c r="L630" s="62"/>
      <c r="Q630" s="62"/>
      <c r="R630" s="62"/>
      <c r="T630" s="62"/>
      <c r="U630" s="62"/>
    </row>
    <row r="631" spans="3:21" ht="15.75" customHeight="1">
      <c r="C631" s="62"/>
      <c r="D631" s="62"/>
      <c r="E631" s="62"/>
      <c r="G631" s="62"/>
      <c r="H631" s="62"/>
      <c r="I631" s="62"/>
      <c r="L631" s="62"/>
      <c r="Q631" s="62"/>
      <c r="R631" s="62"/>
      <c r="T631" s="62"/>
      <c r="U631" s="62"/>
    </row>
    <row r="632" spans="3:21" ht="15.75" customHeight="1">
      <c r="C632" s="62"/>
      <c r="D632" s="62"/>
      <c r="E632" s="62"/>
      <c r="G632" s="62"/>
      <c r="H632" s="62"/>
      <c r="I632" s="62"/>
      <c r="L632" s="62"/>
      <c r="Q632" s="62"/>
      <c r="R632" s="62"/>
      <c r="T632" s="62"/>
      <c r="U632" s="62"/>
    </row>
    <row r="633" spans="3:21" ht="15.75" customHeight="1">
      <c r="C633" s="62"/>
      <c r="D633" s="62"/>
      <c r="E633" s="62"/>
      <c r="G633" s="62"/>
      <c r="H633" s="62"/>
      <c r="I633" s="62"/>
      <c r="L633" s="62"/>
      <c r="Q633" s="62"/>
      <c r="R633" s="62"/>
      <c r="T633" s="62"/>
      <c r="U633" s="62"/>
    </row>
    <row r="634" spans="3:21" ht="15.75" customHeight="1">
      <c r="C634" s="62"/>
      <c r="D634" s="62"/>
      <c r="E634" s="62"/>
      <c r="G634" s="62"/>
      <c r="H634" s="62"/>
      <c r="I634" s="62"/>
      <c r="L634" s="62"/>
      <c r="Q634" s="62"/>
      <c r="R634" s="62"/>
      <c r="T634" s="62"/>
      <c r="U634" s="62"/>
    </row>
    <row r="635" spans="3:21" ht="15.75" customHeight="1">
      <c r="C635" s="62"/>
      <c r="D635" s="62"/>
      <c r="E635" s="62"/>
      <c r="G635" s="62"/>
      <c r="H635" s="62"/>
      <c r="I635" s="62"/>
      <c r="L635" s="62"/>
      <c r="Q635" s="62"/>
      <c r="R635" s="62"/>
      <c r="T635" s="62"/>
      <c r="U635" s="62"/>
    </row>
    <row r="636" spans="3:21" ht="15.75" customHeight="1">
      <c r="C636" s="62"/>
      <c r="D636" s="62"/>
      <c r="E636" s="62"/>
      <c r="G636" s="62"/>
      <c r="H636" s="62"/>
      <c r="I636" s="62"/>
      <c r="L636" s="62"/>
      <c r="Q636" s="62"/>
      <c r="R636" s="62"/>
      <c r="T636" s="62"/>
      <c r="U636" s="62"/>
    </row>
    <row r="637" spans="3:21" ht="15.75" customHeight="1">
      <c r="C637" s="62"/>
      <c r="D637" s="62"/>
      <c r="E637" s="62"/>
      <c r="G637" s="62"/>
      <c r="H637" s="62"/>
      <c r="I637" s="62"/>
      <c r="L637" s="62"/>
      <c r="Q637" s="62"/>
      <c r="R637" s="62"/>
      <c r="T637" s="62"/>
      <c r="U637" s="62"/>
    </row>
    <row r="638" spans="3:21" ht="15.75" customHeight="1">
      <c r="C638" s="62"/>
      <c r="D638" s="62"/>
      <c r="E638" s="62"/>
      <c r="G638" s="62"/>
      <c r="H638" s="62"/>
      <c r="I638" s="62"/>
      <c r="L638" s="62"/>
      <c r="Q638" s="62"/>
      <c r="R638" s="62"/>
      <c r="T638" s="62"/>
      <c r="U638" s="62"/>
    </row>
    <row r="639" spans="3:21" ht="15.75" customHeight="1">
      <c r="C639" s="62"/>
      <c r="D639" s="62"/>
      <c r="E639" s="62"/>
      <c r="G639" s="62"/>
      <c r="H639" s="62"/>
      <c r="I639" s="62"/>
      <c r="L639" s="62"/>
      <c r="Q639" s="62"/>
      <c r="R639" s="62"/>
      <c r="T639" s="62"/>
      <c r="U639" s="62"/>
    </row>
    <row r="640" spans="3:21" ht="15.75" customHeight="1">
      <c r="C640" s="62"/>
      <c r="D640" s="62"/>
      <c r="E640" s="62"/>
      <c r="G640" s="62"/>
      <c r="H640" s="62"/>
      <c r="I640" s="62"/>
      <c r="L640" s="62"/>
      <c r="Q640" s="62"/>
      <c r="R640" s="62"/>
      <c r="T640" s="62"/>
      <c r="U640" s="62"/>
    </row>
    <row r="641" spans="3:21" ht="15.75" customHeight="1">
      <c r="C641" s="62"/>
      <c r="D641" s="62"/>
      <c r="E641" s="62"/>
      <c r="G641" s="62"/>
      <c r="H641" s="62"/>
      <c r="I641" s="62"/>
      <c r="L641" s="62"/>
      <c r="Q641" s="62"/>
      <c r="R641" s="62"/>
      <c r="T641" s="62"/>
      <c r="U641" s="62"/>
    </row>
    <row r="642" spans="3:21" ht="15.75" customHeight="1">
      <c r="C642" s="62"/>
      <c r="D642" s="62"/>
      <c r="E642" s="62"/>
      <c r="G642" s="62"/>
      <c r="H642" s="62"/>
      <c r="I642" s="62"/>
      <c r="L642" s="62"/>
      <c r="Q642" s="62"/>
      <c r="R642" s="62"/>
      <c r="T642" s="62"/>
      <c r="U642" s="62"/>
    </row>
    <row r="643" spans="3:21" ht="15.75" customHeight="1">
      <c r="C643" s="62"/>
      <c r="D643" s="62"/>
      <c r="E643" s="62"/>
      <c r="G643" s="62"/>
      <c r="H643" s="62"/>
      <c r="I643" s="62"/>
      <c r="L643" s="62"/>
      <c r="Q643" s="62"/>
      <c r="R643" s="62"/>
      <c r="T643" s="62"/>
      <c r="U643" s="62"/>
    </row>
    <row r="644" spans="3:21" ht="15.75" customHeight="1">
      <c r="C644" s="62"/>
      <c r="D644" s="62"/>
      <c r="E644" s="62"/>
      <c r="G644" s="62"/>
      <c r="H644" s="62"/>
      <c r="I644" s="62"/>
      <c r="L644" s="62"/>
      <c r="Q644" s="62"/>
      <c r="R644" s="62"/>
      <c r="T644" s="62"/>
      <c r="U644" s="62"/>
    </row>
    <row r="645" spans="3:21" ht="15.75" customHeight="1">
      <c r="C645" s="62"/>
      <c r="D645" s="62"/>
      <c r="E645" s="62"/>
      <c r="G645" s="62"/>
      <c r="H645" s="62"/>
      <c r="I645" s="62"/>
      <c r="L645" s="62"/>
      <c r="Q645" s="62"/>
      <c r="R645" s="62"/>
      <c r="T645" s="62"/>
      <c r="U645" s="62"/>
    </row>
    <row r="646" spans="3:21" ht="15.75" customHeight="1">
      <c r="C646" s="62"/>
      <c r="D646" s="62"/>
      <c r="E646" s="62"/>
      <c r="G646" s="62"/>
      <c r="H646" s="62"/>
      <c r="I646" s="62"/>
      <c r="L646" s="62"/>
      <c r="Q646" s="62"/>
      <c r="R646" s="62"/>
      <c r="T646" s="62"/>
      <c r="U646" s="62"/>
    </row>
    <row r="647" spans="3:21" ht="15.75" customHeight="1">
      <c r="C647" s="62"/>
      <c r="D647" s="62"/>
      <c r="E647" s="62"/>
      <c r="G647" s="62"/>
      <c r="H647" s="62"/>
      <c r="I647" s="62"/>
      <c r="L647" s="62"/>
      <c r="Q647" s="62"/>
      <c r="R647" s="62"/>
      <c r="T647" s="62"/>
      <c r="U647" s="62"/>
    </row>
    <row r="648" spans="3:21" ht="15.75" customHeight="1">
      <c r="C648" s="62"/>
      <c r="D648" s="62"/>
      <c r="E648" s="62"/>
      <c r="G648" s="62"/>
      <c r="H648" s="62"/>
      <c r="I648" s="62"/>
      <c r="L648" s="62"/>
      <c r="Q648" s="62"/>
      <c r="R648" s="62"/>
      <c r="T648" s="62"/>
      <c r="U648" s="62"/>
    </row>
    <row r="649" spans="3:21" ht="15.75" customHeight="1">
      <c r="C649" s="62"/>
      <c r="D649" s="62"/>
      <c r="E649" s="62"/>
      <c r="G649" s="62"/>
      <c r="H649" s="62"/>
      <c r="I649" s="62"/>
      <c r="L649" s="62"/>
      <c r="Q649" s="62"/>
      <c r="R649" s="62"/>
      <c r="T649" s="62"/>
      <c r="U649" s="62"/>
    </row>
    <row r="650" spans="3:21" ht="15.75" customHeight="1">
      <c r="C650" s="62"/>
      <c r="D650" s="62"/>
      <c r="E650" s="62"/>
      <c r="G650" s="62"/>
      <c r="H650" s="62"/>
      <c r="I650" s="62"/>
      <c r="L650" s="62"/>
      <c r="Q650" s="62"/>
      <c r="R650" s="62"/>
      <c r="T650" s="62"/>
      <c r="U650" s="62"/>
    </row>
    <row r="651" spans="3:21" ht="15.75" customHeight="1">
      <c r="C651" s="62"/>
      <c r="D651" s="62"/>
      <c r="E651" s="62"/>
      <c r="G651" s="62"/>
      <c r="H651" s="62"/>
      <c r="I651" s="62"/>
      <c r="L651" s="62"/>
      <c r="Q651" s="62"/>
      <c r="R651" s="62"/>
      <c r="T651" s="62"/>
      <c r="U651" s="62"/>
    </row>
    <row r="652" spans="3:21" ht="15.75" customHeight="1">
      <c r="C652" s="62"/>
      <c r="D652" s="62"/>
      <c r="E652" s="62"/>
      <c r="G652" s="62"/>
      <c r="H652" s="62"/>
      <c r="I652" s="62"/>
      <c r="L652" s="62"/>
      <c r="Q652" s="62"/>
      <c r="R652" s="62"/>
      <c r="T652" s="62"/>
      <c r="U652" s="62"/>
    </row>
    <row r="653" spans="3:21" ht="15.75" customHeight="1">
      <c r="C653" s="62"/>
      <c r="D653" s="62"/>
      <c r="E653" s="62"/>
      <c r="G653" s="62"/>
      <c r="H653" s="62"/>
      <c r="I653" s="62"/>
      <c r="L653" s="62"/>
      <c r="Q653" s="62"/>
      <c r="R653" s="62"/>
      <c r="T653" s="62"/>
      <c r="U653" s="62"/>
    </row>
    <row r="654" spans="3:21" ht="15.75" customHeight="1">
      <c r="C654" s="62"/>
      <c r="D654" s="62"/>
      <c r="E654" s="62"/>
      <c r="G654" s="62"/>
      <c r="H654" s="62"/>
      <c r="I654" s="62"/>
      <c r="L654" s="62"/>
      <c r="Q654" s="62"/>
      <c r="R654" s="62"/>
      <c r="T654" s="62"/>
      <c r="U654" s="62"/>
    </row>
    <row r="655" spans="3:21" ht="15.75" customHeight="1">
      <c r="C655" s="62"/>
      <c r="D655" s="62"/>
      <c r="E655" s="62"/>
      <c r="G655" s="62"/>
      <c r="H655" s="62"/>
      <c r="I655" s="62"/>
      <c r="L655" s="62"/>
      <c r="Q655" s="62"/>
      <c r="R655" s="62"/>
      <c r="T655" s="62"/>
      <c r="U655" s="62"/>
    </row>
    <row r="656" spans="3:21" ht="15.75" customHeight="1">
      <c r="C656" s="62"/>
      <c r="D656" s="62"/>
      <c r="E656" s="62"/>
      <c r="G656" s="62"/>
      <c r="H656" s="62"/>
      <c r="I656" s="62"/>
      <c r="L656" s="62"/>
      <c r="Q656" s="62"/>
      <c r="R656" s="62"/>
      <c r="T656" s="62"/>
      <c r="U656" s="62"/>
    </row>
    <row r="657" spans="3:21" ht="15.75" customHeight="1">
      <c r="C657" s="62"/>
      <c r="D657" s="62"/>
      <c r="E657" s="62"/>
      <c r="G657" s="62"/>
      <c r="H657" s="62"/>
      <c r="I657" s="62"/>
      <c r="L657" s="62"/>
      <c r="Q657" s="62"/>
      <c r="R657" s="62"/>
      <c r="T657" s="62"/>
      <c r="U657" s="62"/>
    </row>
    <row r="658" spans="3:21" ht="15.75" customHeight="1">
      <c r="C658" s="62"/>
      <c r="D658" s="62"/>
      <c r="E658" s="62"/>
      <c r="G658" s="62"/>
      <c r="H658" s="62"/>
      <c r="I658" s="62"/>
      <c r="L658" s="62"/>
      <c r="Q658" s="62"/>
      <c r="R658" s="62"/>
      <c r="T658" s="62"/>
      <c r="U658" s="62"/>
    </row>
    <row r="659" spans="3:21" ht="15.75" customHeight="1">
      <c r="C659" s="62"/>
      <c r="D659" s="62"/>
      <c r="E659" s="62"/>
      <c r="G659" s="62"/>
      <c r="H659" s="62"/>
      <c r="I659" s="62"/>
      <c r="L659" s="62"/>
      <c r="Q659" s="62"/>
      <c r="R659" s="62"/>
      <c r="T659" s="62"/>
      <c r="U659" s="62"/>
    </row>
    <row r="660" spans="3:21" ht="15.75" customHeight="1">
      <c r="C660" s="62"/>
      <c r="D660" s="62"/>
      <c r="E660" s="62"/>
      <c r="G660" s="62"/>
      <c r="H660" s="62"/>
      <c r="I660" s="62"/>
      <c r="L660" s="62"/>
      <c r="Q660" s="62"/>
      <c r="R660" s="62"/>
      <c r="T660" s="62"/>
      <c r="U660" s="62"/>
    </row>
    <row r="661" spans="3:21" ht="15.75" customHeight="1">
      <c r="C661" s="62"/>
      <c r="D661" s="62"/>
      <c r="E661" s="62"/>
      <c r="G661" s="62"/>
      <c r="H661" s="62"/>
      <c r="I661" s="62"/>
      <c r="L661" s="62"/>
      <c r="Q661" s="62"/>
      <c r="R661" s="62"/>
      <c r="T661" s="62"/>
      <c r="U661" s="62"/>
    </row>
    <row r="662" spans="3:21" ht="15.75" customHeight="1">
      <c r="C662" s="62"/>
      <c r="D662" s="62"/>
      <c r="E662" s="62"/>
      <c r="G662" s="62"/>
      <c r="H662" s="62"/>
      <c r="I662" s="62"/>
      <c r="L662" s="62"/>
      <c r="Q662" s="62"/>
      <c r="R662" s="62"/>
      <c r="T662" s="62"/>
      <c r="U662" s="62"/>
    </row>
    <row r="663" spans="3:21" ht="15.75" customHeight="1">
      <c r="C663" s="62"/>
      <c r="D663" s="62"/>
      <c r="E663" s="62"/>
      <c r="G663" s="62"/>
      <c r="H663" s="62"/>
      <c r="I663" s="62"/>
      <c r="L663" s="62"/>
      <c r="Q663" s="62"/>
      <c r="R663" s="62"/>
      <c r="T663" s="62"/>
      <c r="U663" s="62"/>
    </row>
    <row r="664" spans="3:21" ht="15.75" customHeight="1">
      <c r="C664" s="62"/>
      <c r="D664" s="62"/>
      <c r="E664" s="62"/>
      <c r="G664" s="62"/>
      <c r="H664" s="62"/>
      <c r="I664" s="62"/>
      <c r="L664" s="62"/>
      <c r="Q664" s="62"/>
      <c r="R664" s="62"/>
      <c r="T664" s="62"/>
      <c r="U664" s="62"/>
    </row>
    <row r="665" spans="3:21" ht="15.75" customHeight="1">
      <c r="C665" s="62"/>
      <c r="D665" s="62"/>
      <c r="E665" s="62"/>
      <c r="G665" s="62"/>
      <c r="H665" s="62"/>
      <c r="I665" s="62"/>
      <c r="L665" s="62"/>
      <c r="Q665" s="62"/>
      <c r="R665" s="62"/>
      <c r="T665" s="62"/>
      <c r="U665" s="62"/>
    </row>
    <row r="666" spans="3:21" ht="15.75" customHeight="1">
      <c r="C666" s="62"/>
      <c r="D666" s="62"/>
      <c r="E666" s="62"/>
      <c r="G666" s="62"/>
      <c r="H666" s="62"/>
      <c r="I666" s="62"/>
      <c r="L666" s="62"/>
      <c r="Q666" s="62"/>
      <c r="R666" s="62"/>
      <c r="T666" s="62"/>
      <c r="U666" s="62"/>
    </row>
    <row r="667" spans="3:21" ht="15.75" customHeight="1">
      <c r="C667" s="62"/>
      <c r="D667" s="62"/>
      <c r="E667" s="62"/>
      <c r="G667" s="62"/>
      <c r="H667" s="62"/>
      <c r="I667" s="62"/>
      <c r="L667" s="62"/>
      <c r="Q667" s="62"/>
      <c r="R667" s="62"/>
      <c r="T667" s="62"/>
      <c r="U667" s="62"/>
    </row>
    <row r="668" spans="3:21" ht="15.75" customHeight="1">
      <c r="C668" s="62"/>
      <c r="D668" s="62"/>
      <c r="E668" s="62"/>
      <c r="G668" s="62"/>
      <c r="H668" s="62"/>
      <c r="I668" s="62"/>
      <c r="L668" s="62"/>
      <c r="Q668" s="62"/>
      <c r="R668" s="62"/>
      <c r="T668" s="62"/>
      <c r="U668" s="62"/>
    </row>
    <row r="669" spans="3:21" ht="15.75" customHeight="1">
      <c r="C669" s="62"/>
      <c r="D669" s="62"/>
      <c r="E669" s="62"/>
      <c r="G669" s="62"/>
      <c r="H669" s="62"/>
      <c r="I669" s="62"/>
      <c r="L669" s="62"/>
      <c r="Q669" s="62"/>
      <c r="R669" s="62"/>
      <c r="T669" s="62"/>
      <c r="U669" s="62"/>
    </row>
    <row r="670" spans="3:21" ht="15.75" customHeight="1">
      <c r="C670" s="62"/>
      <c r="D670" s="62"/>
      <c r="E670" s="62"/>
      <c r="G670" s="62"/>
      <c r="H670" s="62"/>
      <c r="I670" s="62"/>
      <c r="L670" s="62"/>
      <c r="Q670" s="62"/>
      <c r="R670" s="62"/>
      <c r="T670" s="62"/>
      <c r="U670" s="62"/>
    </row>
    <row r="671" spans="3:21" ht="15.75" customHeight="1">
      <c r="C671" s="62"/>
      <c r="D671" s="62"/>
      <c r="E671" s="62"/>
      <c r="G671" s="62"/>
      <c r="H671" s="62"/>
      <c r="I671" s="62"/>
      <c r="L671" s="62"/>
      <c r="Q671" s="62"/>
      <c r="R671" s="62"/>
      <c r="T671" s="62"/>
      <c r="U671" s="62"/>
    </row>
    <row r="672" spans="3:21" ht="15.75" customHeight="1">
      <c r="C672" s="62"/>
      <c r="D672" s="62"/>
      <c r="E672" s="62"/>
      <c r="G672" s="62"/>
      <c r="H672" s="62"/>
      <c r="I672" s="62"/>
      <c r="L672" s="62"/>
      <c r="Q672" s="62"/>
      <c r="R672" s="62"/>
      <c r="T672" s="62"/>
      <c r="U672" s="62"/>
    </row>
    <row r="673" spans="3:21" ht="15.75" customHeight="1">
      <c r="C673" s="62"/>
      <c r="D673" s="62"/>
      <c r="E673" s="62"/>
      <c r="G673" s="62"/>
      <c r="H673" s="62"/>
      <c r="I673" s="62"/>
      <c r="L673" s="62"/>
      <c r="Q673" s="62"/>
      <c r="R673" s="62"/>
      <c r="T673" s="62"/>
      <c r="U673" s="62"/>
    </row>
    <row r="674" spans="3:21" ht="15.75" customHeight="1">
      <c r="C674" s="62"/>
      <c r="D674" s="62"/>
      <c r="E674" s="62"/>
      <c r="G674" s="62"/>
      <c r="H674" s="62"/>
      <c r="I674" s="62"/>
      <c r="L674" s="62"/>
      <c r="Q674" s="62"/>
      <c r="R674" s="62"/>
      <c r="T674" s="62"/>
      <c r="U674" s="62"/>
    </row>
    <row r="675" spans="3:21" ht="15.75" customHeight="1">
      <c r="C675" s="62"/>
      <c r="D675" s="62"/>
      <c r="E675" s="62"/>
      <c r="G675" s="62"/>
      <c r="H675" s="62"/>
      <c r="I675" s="62"/>
      <c r="L675" s="62"/>
      <c r="Q675" s="62"/>
      <c r="R675" s="62"/>
      <c r="T675" s="62"/>
      <c r="U675" s="62"/>
    </row>
    <row r="676" spans="3:21" ht="15.75" customHeight="1">
      <c r="C676" s="62"/>
      <c r="D676" s="62"/>
      <c r="E676" s="62"/>
      <c r="G676" s="62"/>
      <c r="H676" s="62"/>
      <c r="I676" s="62"/>
      <c r="L676" s="62"/>
      <c r="Q676" s="62"/>
      <c r="R676" s="62"/>
      <c r="T676" s="62"/>
      <c r="U676" s="62"/>
    </row>
    <row r="677" spans="3:21" ht="15.75" customHeight="1">
      <c r="C677" s="62"/>
      <c r="D677" s="62"/>
      <c r="E677" s="62"/>
      <c r="G677" s="62"/>
      <c r="H677" s="62"/>
      <c r="I677" s="62"/>
      <c r="L677" s="62"/>
      <c r="Q677" s="62"/>
      <c r="R677" s="62"/>
      <c r="T677" s="62"/>
      <c r="U677" s="62"/>
    </row>
    <row r="678" spans="3:21" ht="15.75" customHeight="1">
      <c r="C678" s="62"/>
      <c r="D678" s="62"/>
      <c r="E678" s="62"/>
      <c r="G678" s="62"/>
      <c r="H678" s="62"/>
      <c r="I678" s="62"/>
      <c r="L678" s="62"/>
      <c r="Q678" s="62"/>
      <c r="R678" s="62"/>
      <c r="T678" s="62"/>
      <c r="U678" s="62"/>
    </row>
    <row r="679" spans="3:21" ht="15.75" customHeight="1">
      <c r="C679" s="62"/>
      <c r="D679" s="62"/>
      <c r="E679" s="62"/>
      <c r="G679" s="62"/>
      <c r="H679" s="62"/>
      <c r="I679" s="62"/>
      <c r="L679" s="62"/>
      <c r="Q679" s="62"/>
      <c r="R679" s="62"/>
      <c r="T679" s="62"/>
      <c r="U679" s="62"/>
    </row>
    <row r="680" spans="3:21" ht="15.75" customHeight="1">
      <c r="C680" s="62"/>
      <c r="D680" s="62"/>
      <c r="E680" s="62"/>
      <c r="G680" s="62"/>
      <c r="H680" s="62"/>
      <c r="I680" s="62"/>
      <c r="L680" s="62"/>
      <c r="Q680" s="62"/>
      <c r="R680" s="62"/>
      <c r="T680" s="62"/>
      <c r="U680" s="62"/>
    </row>
    <row r="681" spans="3:21" ht="15.75" customHeight="1">
      <c r="C681" s="62"/>
      <c r="D681" s="62"/>
      <c r="E681" s="62"/>
      <c r="G681" s="62"/>
      <c r="H681" s="62"/>
      <c r="I681" s="62"/>
      <c r="L681" s="62"/>
      <c r="Q681" s="62"/>
      <c r="R681" s="62"/>
      <c r="T681" s="62"/>
      <c r="U681" s="62"/>
    </row>
    <row r="682" spans="3:21" ht="15.75" customHeight="1">
      <c r="C682" s="62"/>
      <c r="D682" s="62"/>
      <c r="E682" s="62"/>
      <c r="G682" s="62"/>
      <c r="H682" s="62"/>
      <c r="I682" s="62"/>
      <c r="L682" s="62"/>
      <c r="Q682" s="62"/>
      <c r="R682" s="62"/>
      <c r="T682" s="62"/>
      <c r="U682" s="62"/>
    </row>
    <row r="683" spans="3:21" ht="15.75" customHeight="1">
      <c r="C683" s="62"/>
      <c r="D683" s="62"/>
      <c r="E683" s="62"/>
      <c r="G683" s="62"/>
      <c r="H683" s="62"/>
      <c r="I683" s="62"/>
      <c r="L683" s="62"/>
      <c r="Q683" s="62"/>
      <c r="R683" s="62"/>
      <c r="T683" s="62"/>
      <c r="U683" s="62"/>
    </row>
    <row r="684" spans="3:21" ht="15.75" customHeight="1">
      <c r="C684" s="62"/>
      <c r="D684" s="62"/>
      <c r="E684" s="62"/>
      <c r="G684" s="62"/>
      <c r="H684" s="62"/>
      <c r="I684" s="62"/>
      <c r="L684" s="62"/>
      <c r="Q684" s="62"/>
      <c r="R684" s="62"/>
      <c r="T684" s="62"/>
      <c r="U684" s="62"/>
    </row>
    <row r="685" spans="3:21" ht="15.75" customHeight="1">
      <c r="C685" s="62"/>
      <c r="D685" s="62"/>
      <c r="E685" s="62"/>
      <c r="G685" s="62"/>
      <c r="H685" s="62"/>
      <c r="I685" s="62"/>
      <c r="L685" s="62"/>
      <c r="Q685" s="62"/>
      <c r="R685" s="62"/>
      <c r="T685" s="62"/>
      <c r="U685" s="62"/>
    </row>
    <row r="686" spans="3:21" ht="15.75" customHeight="1">
      <c r="C686" s="62"/>
      <c r="D686" s="62"/>
      <c r="E686" s="62"/>
      <c r="G686" s="62"/>
      <c r="H686" s="62"/>
      <c r="I686" s="62"/>
      <c r="L686" s="62"/>
      <c r="Q686" s="62"/>
      <c r="R686" s="62"/>
      <c r="T686" s="62"/>
      <c r="U686" s="62"/>
    </row>
    <row r="687" spans="3:21" ht="15.75" customHeight="1">
      <c r="C687" s="62"/>
      <c r="D687" s="62"/>
      <c r="E687" s="62"/>
      <c r="G687" s="62"/>
      <c r="H687" s="62"/>
      <c r="I687" s="62"/>
      <c r="L687" s="62"/>
      <c r="Q687" s="62"/>
      <c r="R687" s="62"/>
      <c r="T687" s="62"/>
      <c r="U687" s="62"/>
    </row>
    <row r="688" spans="3:21" ht="15.75" customHeight="1">
      <c r="C688" s="62"/>
      <c r="D688" s="62"/>
      <c r="E688" s="62"/>
      <c r="G688" s="62"/>
      <c r="H688" s="62"/>
      <c r="I688" s="62"/>
      <c r="L688" s="62"/>
      <c r="Q688" s="62"/>
      <c r="R688" s="62"/>
      <c r="T688" s="62"/>
      <c r="U688" s="62"/>
    </row>
    <row r="689" spans="3:21" ht="15.75" customHeight="1">
      <c r="C689" s="62"/>
      <c r="D689" s="62"/>
      <c r="E689" s="62"/>
      <c r="G689" s="62"/>
      <c r="H689" s="62"/>
      <c r="I689" s="62"/>
      <c r="L689" s="62"/>
      <c r="Q689" s="62"/>
      <c r="R689" s="62"/>
      <c r="T689" s="62"/>
      <c r="U689" s="62"/>
    </row>
    <row r="690" spans="3:21" ht="15.75" customHeight="1">
      <c r="C690" s="62"/>
      <c r="D690" s="62"/>
      <c r="E690" s="62"/>
      <c r="G690" s="62"/>
      <c r="H690" s="62"/>
      <c r="I690" s="62"/>
      <c r="L690" s="62"/>
      <c r="Q690" s="62"/>
      <c r="R690" s="62"/>
      <c r="T690" s="62"/>
      <c r="U690" s="62"/>
    </row>
    <row r="691" spans="3:21" ht="15.75" customHeight="1">
      <c r="C691" s="62"/>
      <c r="D691" s="62"/>
      <c r="E691" s="62"/>
      <c r="G691" s="62"/>
      <c r="H691" s="62"/>
      <c r="I691" s="62"/>
      <c r="L691" s="62"/>
      <c r="Q691" s="62"/>
      <c r="R691" s="62"/>
      <c r="T691" s="62"/>
      <c r="U691" s="62"/>
    </row>
    <row r="692" spans="3:21" ht="15.75" customHeight="1">
      <c r="C692" s="62"/>
      <c r="D692" s="62"/>
      <c r="E692" s="62"/>
      <c r="G692" s="62"/>
      <c r="H692" s="62"/>
      <c r="I692" s="62"/>
      <c r="L692" s="62"/>
      <c r="Q692" s="62"/>
      <c r="R692" s="62"/>
      <c r="T692" s="62"/>
      <c r="U692" s="62"/>
    </row>
    <row r="693" spans="3:21" ht="15.75" customHeight="1">
      <c r="C693" s="62"/>
      <c r="D693" s="62"/>
      <c r="E693" s="62"/>
      <c r="G693" s="62"/>
      <c r="H693" s="62"/>
      <c r="I693" s="62"/>
      <c r="L693" s="62"/>
      <c r="Q693" s="62"/>
      <c r="R693" s="62"/>
      <c r="T693" s="62"/>
      <c r="U693" s="62"/>
    </row>
    <row r="694" spans="3:21" ht="15.75" customHeight="1">
      <c r="C694" s="62"/>
      <c r="D694" s="62"/>
      <c r="E694" s="62"/>
      <c r="G694" s="62"/>
      <c r="H694" s="62"/>
      <c r="I694" s="62"/>
      <c r="L694" s="62"/>
      <c r="Q694" s="62"/>
      <c r="R694" s="62"/>
      <c r="T694" s="62"/>
      <c r="U694" s="62"/>
    </row>
    <row r="695" spans="3:21" ht="15.75" customHeight="1">
      <c r="C695" s="62"/>
      <c r="D695" s="62"/>
      <c r="E695" s="62"/>
      <c r="G695" s="62"/>
      <c r="H695" s="62"/>
      <c r="I695" s="62"/>
      <c r="L695" s="62"/>
      <c r="Q695" s="62"/>
      <c r="R695" s="62"/>
      <c r="T695" s="62"/>
      <c r="U695" s="62"/>
    </row>
    <row r="696" spans="3:21" ht="15.75" customHeight="1">
      <c r="C696" s="62"/>
      <c r="D696" s="62"/>
      <c r="E696" s="62"/>
      <c r="G696" s="62"/>
      <c r="H696" s="62"/>
      <c r="I696" s="62"/>
      <c r="L696" s="62"/>
      <c r="Q696" s="62"/>
      <c r="R696" s="62"/>
      <c r="T696" s="62"/>
      <c r="U696" s="62"/>
    </row>
    <row r="697" spans="3:21" ht="15.75" customHeight="1">
      <c r="C697" s="62"/>
      <c r="D697" s="62"/>
      <c r="E697" s="62"/>
      <c r="G697" s="62"/>
      <c r="H697" s="62"/>
      <c r="I697" s="62"/>
      <c r="L697" s="62"/>
      <c r="Q697" s="62"/>
      <c r="R697" s="62"/>
      <c r="T697" s="62"/>
      <c r="U697" s="62"/>
    </row>
    <row r="698" spans="3:21" ht="15.75" customHeight="1">
      <c r="C698" s="62"/>
      <c r="D698" s="62"/>
      <c r="E698" s="62"/>
      <c r="G698" s="62"/>
      <c r="H698" s="62"/>
      <c r="I698" s="62"/>
      <c r="L698" s="62"/>
      <c r="Q698" s="62"/>
      <c r="R698" s="62"/>
      <c r="T698" s="62"/>
      <c r="U698" s="62"/>
    </row>
    <row r="699" spans="3:21" ht="15.75" customHeight="1">
      <c r="C699" s="62"/>
      <c r="D699" s="62"/>
      <c r="E699" s="62"/>
      <c r="G699" s="62"/>
      <c r="H699" s="62"/>
      <c r="I699" s="62"/>
      <c r="L699" s="62"/>
      <c r="Q699" s="62"/>
      <c r="R699" s="62"/>
      <c r="T699" s="62"/>
      <c r="U699" s="62"/>
    </row>
    <row r="700" spans="3:21" ht="15.75" customHeight="1">
      <c r="C700" s="62"/>
      <c r="D700" s="62"/>
      <c r="E700" s="62"/>
      <c r="G700" s="62"/>
      <c r="H700" s="62"/>
      <c r="I700" s="62"/>
      <c r="L700" s="62"/>
      <c r="Q700" s="62"/>
      <c r="R700" s="62"/>
      <c r="T700" s="62"/>
      <c r="U700" s="62"/>
    </row>
    <row r="701" spans="3:21" ht="15.75" customHeight="1">
      <c r="C701" s="62"/>
      <c r="D701" s="62"/>
      <c r="E701" s="62"/>
      <c r="G701" s="62"/>
      <c r="H701" s="62"/>
      <c r="I701" s="62"/>
      <c r="L701" s="62"/>
      <c r="Q701" s="62"/>
      <c r="R701" s="62"/>
      <c r="T701" s="62"/>
      <c r="U701" s="62"/>
    </row>
    <row r="702" spans="3:21" ht="15.75" customHeight="1">
      <c r="C702" s="62"/>
      <c r="D702" s="62"/>
      <c r="E702" s="62"/>
      <c r="G702" s="62"/>
      <c r="H702" s="62"/>
      <c r="I702" s="62"/>
      <c r="L702" s="62"/>
      <c r="Q702" s="62"/>
      <c r="R702" s="62"/>
      <c r="T702" s="62"/>
      <c r="U702" s="62"/>
    </row>
    <row r="703" spans="3:21" ht="15.75" customHeight="1">
      <c r="C703" s="62"/>
      <c r="D703" s="62"/>
      <c r="E703" s="62"/>
      <c r="G703" s="62"/>
      <c r="H703" s="62"/>
      <c r="I703" s="62"/>
      <c r="L703" s="62"/>
      <c r="Q703" s="62"/>
      <c r="R703" s="62"/>
      <c r="T703" s="62"/>
      <c r="U703" s="62"/>
    </row>
    <row r="704" spans="3:21" ht="15.75" customHeight="1">
      <c r="C704" s="62"/>
      <c r="D704" s="62"/>
      <c r="E704" s="62"/>
      <c r="G704" s="62"/>
      <c r="H704" s="62"/>
      <c r="I704" s="62"/>
      <c r="L704" s="62"/>
      <c r="Q704" s="62"/>
      <c r="R704" s="62"/>
      <c r="T704" s="62"/>
      <c r="U704" s="62"/>
    </row>
    <row r="705" spans="3:21" ht="15.75" customHeight="1">
      <c r="C705" s="62"/>
      <c r="D705" s="62"/>
      <c r="E705" s="62"/>
      <c r="G705" s="62"/>
      <c r="H705" s="62"/>
      <c r="I705" s="62"/>
      <c r="L705" s="62"/>
      <c r="Q705" s="62"/>
      <c r="R705" s="62"/>
      <c r="T705" s="62"/>
      <c r="U705" s="62"/>
    </row>
    <row r="706" spans="3:21" ht="15.75" customHeight="1">
      <c r="C706" s="62"/>
      <c r="D706" s="62"/>
      <c r="E706" s="62"/>
      <c r="G706" s="62"/>
      <c r="H706" s="62"/>
      <c r="I706" s="62"/>
      <c r="L706" s="62"/>
      <c r="Q706" s="62"/>
      <c r="R706" s="62"/>
      <c r="T706" s="62"/>
      <c r="U706" s="62"/>
    </row>
    <row r="707" spans="3:21" ht="15.75" customHeight="1">
      <c r="C707" s="62"/>
      <c r="D707" s="62"/>
      <c r="E707" s="62"/>
      <c r="G707" s="62"/>
      <c r="H707" s="62"/>
      <c r="I707" s="62"/>
      <c r="L707" s="62"/>
      <c r="Q707" s="62"/>
      <c r="R707" s="62"/>
      <c r="T707" s="62"/>
      <c r="U707" s="62"/>
    </row>
    <row r="708" spans="3:21" ht="15.75" customHeight="1">
      <c r="C708" s="62"/>
      <c r="D708" s="62"/>
      <c r="E708" s="62"/>
      <c r="G708" s="62"/>
      <c r="H708" s="62"/>
      <c r="I708" s="62"/>
      <c r="L708" s="62"/>
      <c r="Q708" s="62"/>
      <c r="R708" s="62"/>
      <c r="T708" s="62"/>
      <c r="U708" s="62"/>
    </row>
    <row r="709" spans="3:21" ht="15.75" customHeight="1">
      <c r="C709" s="62"/>
      <c r="D709" s="62"/>
      <c r="E709" s="62"/>
      <c r="G709" s="62"/>
      <c r="H709" s="62"/>
      <c r="I709" s="62"/>
      <c r="L709" s="62"/>
      <c r="Q709" s="62"/>
      <c r="R709" s="62"/>
      <c r="T709" s="62"/>
      <c r="U709" s="62"/>
    </row>
    <row r="710" spans="3:21" ht="15.75" customHeight="1">
      <c r="C710" s="62"/>
      <c r="D710" s="62"/>
      <c r="E710" s="62"/>
      <c r="G710" s="62"/>
      <c r="H710" s="62"/>
      <c r="I710" s="62"/>
      <c r="L710" s="62"/>
      <c r="Q710" s="62"/>
      <c r="R710" s="62"/>
      <c r="T710" s="62"/>
      <c r="U710" s="62"/>
    </row>
    <row r="711" spans="3:21" ht="15.75" customHeight="1">
      <c r="C711" s="62"/>
      <c r="D711" s="62"/>
      <c r="E711" s="62"/>
      <c r="G711" s="62"/>
      <c r="H711" s="62"/>
      <c r="I711" s="62"/>
      <c r="L711" s="62"/>
      <c r="Q711" s="62"/>
      <c r="R711" s="62"/>
      <c r="T711" s="62"/>
      <c r="U711" s="62"/>
    </row>
    <row r="712" spans="3:21" ht="15.75" customHeight="1">
      <c r="C712" s="62"/>
      <c r="D712" s="62"/>
      <c r="E712" s="62"/>
      <c r="G712" s="62"/>
      <c r="H712" s="62"/>
      <c r="I712" s="62"/>
      <c r="L712" s="62"/>
      <c r="Q712" s="62"/>
      <c r="R712" s="62"/>
      <c r="T712" s="62"/>
      <c r="U712" s="62"/>
    </row>
    <row r="713" spans="3:21" ht="15.75" customHeight="1">
      <c r="C713" s="62"/>
      <c r="D713" s="62"/>
      <c r="E713" s="62"/>
      <c r="G713" s="62"/>
      <c r="H713" s="62"/>
      <c r="I713" s="62"/>
      <c r="L713" s="62"/>
      <c r="Q713" s="62"/>
      <c r="R713" s="62"/>
      <c r="T713" s="62"/>
      <c r="U713" s="62"/>
    </row>
    <row r="714" spans="3:21" ht="15.75" customHeight="1">
      <c r="C714" s="62"/>
      <c r="D714" s="62"/>
      <c r="E714" s="62"/>
      <c r="G714" s="62"/>
      <c r="H714" s="62"/>
      <c r="I714" s="62"/>
      <c r="L714" s="62"/>
      <c r="Q714" s="62"/>
      <c r="R714" s="62"/>
      <c r="T714" s="62"/>
      <c r="U714" s="62"/>
    </row>
    <row r="715" spans="3:21" ht="15.75" customHeight="1">
      <c r="C715" s="62"/>
      <c r="D715" s="62"/>
      <c r="E715" s="62"/>
      <c r="G715" s="62"/>
      <c r="H715" s="62"/>
      <c r="I715" s="62"/>
      <c r="L715" s="62"/>
      <c r="Q715" s="62"/>
      <c r="R715" s="62"/>
      <c r="T715" s="62"/>
      <c r="U715" s="62"/>
    </row>
    <row r="716" spans="3:21" ht="15.75" customHeight="1">
      <c r="C716" s="62"/>
      <c r="D716" s="62"/>
      <c r="E716" s="62"/>
      <c r="G716" s="62"/>
      <c r="H716" s="62"/>
      <c r="I716" s="62"/>
      <c r="L716" s="62"/>
      <c r="Q716" s="62"/>
      <c r="R716" s="62"/>
      <c r="T716" s="62"/>
      <c r="U716" s="62"/>
    </row>
    <row r="717" spans="3:21" ht="15.75" customHeight="1">
      <c r="C717" s="62"/>
      <c r="D717" s="62"/>
      <c r="E717" s="62"/>
      <c r="G717" s="62"/>
      <c r="H717" s="62"/>
      <c r="I717" s="62"/>
      <c r="L717" s="62"/>
      <c r="Q717" s="62"/>
      <c r="R717" s="62"/>
      <c r="T717" s="62"/>
      <c r="U717" s="62"/>
    </row>
    <row r="718" spans="3:21" ht="15.75" customHeight="1">
      <c r="C718" s="62"/>
      <c r="D718" s="62"/>
      <c r="E718" s="62"/>
      <c r="G718" s="62"/>
      <c r="H718" s="62"/>
      <c r="I718" s="62"/>
      <c r="L718" s="62"/>
      <c r="Q718" s="62"/>
      <c r="R718" s="62"/>
      <c r="T718" s="62"/>
      <c r="U718" s="62"/>
    </row>
    <row r="719" spans="3:21" ht="15.75" customHeight="1">
      <c r="C719" s="62"/>
      <c r="D719" s="62"/>
      <c r="E719" s="62"/>
      <c r="G719" s="62"/>
      <c r="H719" s="62"/>
      <c r="I719" s="62"/>
      <c r="L719" s="62"/>
      <c r="Q719" s="62"/>
      <c r="R719" s="62"/>
      <c r="T719" s="62"/>
      <c r="U719" s="62"/>
    </row>
    <row r="720" spans="3:21" ht="15.75" customHeight="1">
      <c r="C720" s="62"/>
      <c r="D720" s="62"/>
      <c r="E720" s="62"/>
      <c r="G720" s="62"/>
      <c r="H720" s="62"/>
      <c r="I720" s="62"/>
      <c r="L720" s="62"/>
      <c r="Q720" s="62"/>
      <c r="R720" s="62"/>
      <c r="T720" s="62"/>
      <c r="U720" s="62"/>
    </row>
    <row r="721" spans="3:21" ht="15.75" customHeight="1">
      <c r="C721" s="62"/>
      <c r="D721" s="62"/>
      <c r="E721" s="62"/>
      <c r="G721" s="62"/>
      <c r="H721" s="62"/>
      <c r="I721" s="62"/>
      <c r="L721" s="62"/>
      <c r="Q721" s="62"/>
      <c r="R721" s="62"/>
      <c r="T721" s="62"/>
      <c r="U721" s="62"/>
    </row>
    <row r="722" spans="3:21" ht="15.75" customHeight="1">
      <c r="C722" s="62"/>
      <c r="D722" s="62"/>
      <c r="E722" s="62"/>
      <c r="G722" s="62"/>
      <c r="H722" s="62"/>
      <c r="I722" s="62"/>
      <c r="L722" s="62"/>
      <c r="Q722" s="62"/>
      <c r="R722" s="62"/>
      <c r="T722" s="62"/>
      <c r="U722" s="62"/>
    </row>
    <row r="723" spans="3:21" ht="15.75" customHeight="1">
      <c r="C723" s="62"/>
      <c r="D723" s="62"/>
      <c r="E723" s="62"/>
      <c r="G723" s="62"/>
      <c r="H723" s="62"/>
      <c r="I723" s="62"/>
      <c r="L723" s="62"/>
      <c r="Q723" s="62"/>
      <c r="R723" s="62"/>
      <c r="T723" s="62"/>
      <c r="U723" s="62"/>
    </row>
    <row r="724" spans="3:21" ht="15.75" customHeight="1">
      <c r="C724" s="62"/>
      <c r="D724" s="62"/>
      <c r="E724" s="62"/>
      <c r="G724" s="62"/>
      <c r="H724" s="62"/>
      <c r="I724" s="62"/>
      <c r="L724" s="62"/>
      <c r="Q724" s="62"/>
      <c r="R724" s="62"/>
      <c r="T724" s="62"/>
      <c r="U724" s="62"/>
    </row>
    <row r="725" spans="3:21" ht="15.75" customHeight="1">
      <c r="C725" s="62"/>
      <c r="D725" s="62"/>
      <c r="E725" s="62"/>
      <c r="G725" s="62"/>
      <c r="H725" s="62"/>
      <c r="I725" s="62"/>
      <c r="L725" s="62"/>
      <c r="Q725" s="62"/>
      <c r="R725" s="62"/>
      <c r="T725" s="62"/>
      <c r="U725" s="62"/>
    </row>
    <row r="726" spans="3:21" ht="15.75" customHeight="1">
      <c r="C726" s="62"/>
      <c r="D726" s="62"/>
      <c r="E726" s="62"/>
      <c r="G726" s="62"/>
      <c r="H726" s="62"/>
      <c r="I726" s="62"/>
      <c r="L726" s="62"/>
      <c r="Q726" s="62"/>
      <c r="R726" s="62"/>
      <c r="T726" s="62"/>
      <c r="U726" s="62"/>
    </row>
    <row r="727" spans="3:21" ht="15.75" customHeight="1">
      <c r="C727" s="62"/>
      <c r="D727" s="62"/>
      <c r="E727" s="62"/>
      <c r="G727" s="62"/>
      <c r="H727" s="62"/>
      <c r="I727" s="62"/>
      <c r="L727" s="62"/>
      <c r="Q727" s="62"/>
      <c r="R727" s="62"/>
      <c r="T727" s="62"/>
      <c r="U727" s="62"/>
    </row>
    <row r="728" spans="3:21" ht="15.75" customHeight="1">
      <c r="C728" s="62"/>
      <c r="D728" s="62"/>
      <c r="E728" s="62"/>
      <c r="G728" s="62"/>
      <c r="H728" s="62"/>
      <c r="I728" s="62"/>
      <c r="L728" s="62"/>
      <c r="Q728" s="62"/>
      <c r="R728" s="62"/>
      <c r="T728" s="62"/>
      <c r="U728" s="62"/>
    </row>
    <row r="729" spans="3:21" ht="15.75" customHeight="1">
      <c r="C729" s="62"/>
      <c r="D729" s="62"/>
      <c r="E729" s="62"/>
      <c r="G729" s="62"/>
      <c r="H729" s="62"/>
      <c r="I729" s="62"/>
      <c r="L729" s="62"/>
      <c r="Q729" s="62"/>
      <c r="R729" s="62"/>
      <c r="T729" s="62"/>
      <c r="U729" s="62"/>
    </row>
    <row r="730" spans="3:21" ht="15.75" customHeight="1">
      <c r="C730" s="62"/>
      <c r="D730" s="62"/>
      <c r="E730" s="62"/>
      <c r="G730" s="62"/>
      <c r="H730" s="62"/>
      <c r="I730" s="62"/>
      <c r="L730" s="62"/>
      <c r="Q730" s="62"/>
      <c r="R730" s="62"/>
      <c r="T730" s="62"/>
      <c r="U730" s="62"/>
    </row>
    <row r="731" spans="3:21" ht="15.75" customHeight="1">
      <c r="C731" s="62"/>
      <c r="D731" s="62"/>
      <c r="E731" s="62"/>
      <c r="G731" s="62"/>
      <c r="H731" s="62"/>
      <c r="I731" s="62"/>
      <c r="L731" s="62"/>
      <c r="Q731" s="62"/>
      <c r="R731" s="62"/>
      <c r="T731" s="62"/>
      <c r="U731" s="62"/>
    </row>
    <row r="732" spans="3:21" ht="15.75" customHeight="1">
      <c r="C732" s="62"/>
      <c r="D732" s="62"/>
      <c r="E732" s="62"/>
      <c r="G732" s="62"/>
      <c r="H732" s="62"/>
      <c r="I732" s="62"/>
      <c r="L732" s="62"/>
      <c r="Q732" s="62"/>
      <c r="R732" s="62"/>
      <c r="T732" s="62"/>
      <c r="U732" s="62"/>
    </row>
    <row r="733" spans="3:21" ht="15.75" customHeight="1">
      <c r="C733" s="62"/>
      <c r="D733" s="62"/>
      <c r="E733" s="62"/>
      <c r="G733" s="62"/>
      <c r="H733" s="62"/>
      <c r="I733" s="62"/>
      <c r="L733" s="62"/>
      <c r="Q733" s="62"/>
      <c r="R733" s="62"/>
      <c r="T733" s="62"/>
      <c r="U733" s="62"/>
    </row>
    <row r="734" spans="3:21" ht="15.75" customHeight="1">
      <c r="C734" s="62"/>
      <c r="D734" s="62"/>
      <c r="E734" s="62"/>
      <c r="G734" s="62"/>
      <c r="H734" s="62"/>
      <c r="I734" s="62"/>
      <c r="L734" s="62"/>
      <c r="Q734" s="62"/>
      <c r="R734" s="62"/>
      <c r="T734" s="62"/>
      <c r="U734" s="62"/>
    </row>
    <row r="735" spans="3:21" ht="15.75" customHeight="1">
      <c r="C735" s="62"/>
      <c r="D735" s="62"/>
      <c r="E735" s="62"/>
      <c r="G735" s="62"/>
      <c r="H735" s="62"/>
      <c r="I735" s="62"/>
      <c r="L735" s="62"/>
      <c r="Q735" s="62"/>
      <c r="R735" s="62"/>
      <c r="T735" s="62"/>
      <c r="U735" s="62"/>
    </row>
    <row r="736" spans="3:21" ht="15.75" customHeight="1">
      <c r="C736" s="62"/>
      <c r="D736" s="62"/>
      <c r="E736" s="62"/>
      <c r="G736" s="62"/>
      <c r="H736" s="62"/>
      <c r="I736" s="62"/>
      <c r="L736" s="62"/>
      <c r="Q736" s="62"/>
      <c r="R736" s="62"/>
      <c r="T736" s="62"/>
      <c r="U736" s="62"/>
    </row>
    <row r="737" spans="3:21" ht="15.75" customHeight="1">
      <c r="C737" s="62"/>
      <c r="D737" s="62"/>
      <c r="E737" s="62"/>
      <c r="G737" s="62"/>
      <c r="H737" s="62"/>
      <c r="I737" s="62"/>
      <c r="L737" s="62"/>
      <c r="Q737" s="62"/>
      <c r="R737" s="62"/>
      <c r="T737" s="62"/>
      <c r="U737" s="62"/>
    </row>
    <row r="738" spans="3:21" ht="15.75" customHeight="1">
      <c r="C738" s="62"/>
      <c r="D738" s="62"/>
      <c r="E738" s="62"/>
      <c r="G738" s="62"/>
      <c r="H738" s="62"/>
      <c r="I738" s="62"/>
      <c r="L738" s="62"/>
      <c r="Q738" s="62"/>
      <c r="R738" s="62"/>
      <c r="T738" s="62"/>
      <c r="U738" s="62"/>
    </row>
    <row r="739" spans="3:21" ht="15.75" customHeight="1">
      <c r="C739" s="62"/>
      <c r="D739" s="62"/>
      <c r="E739" s="62"/>
      <c r="G739" s="62"/>
      <c r="H739" s="62"/>
      <c r="I739" s="62"/>
      <c r="L739" s="62"/>
      <c r="Q739" s="62"/>
      <c r="R739" s="62"/>
      <c r="T739" s="62"/>
      <c r="U739" s="62"/>
    </row>
    <row r="740" spans="3:21" ht="15.75" customHeight="1">
      <c r="C740" s="62"/>
      <c r="D740" s="62"/>
      <c r="E740" s="62"/>
      <c r="G740" s="62"/>
      <c r="H740" s="62"/>
      <c r="I740" s="62"/>
      <c r="L740" s="62"/>
      <c r="Q740" s="62"/>
      <c r="R740" s="62"/>
      <c r="T740" s="62"/>
      <c r="U740" s="62"/>
    </row>
    <row r="741" spans="3:21" ht="15.75" customHeight="1">
      <c r="C741" s="62"/>
      <c r="D741" s="62"/>
      <c r="E741" s="62"/>
      <c r="G741" s="62"/>
      <c r="H741" s="62"/>
      <c r="I741" s="62"/>
      <c r="L741" s="62"/>
      <c r="Q741" s="62"/>
      <c r="R741" s="62"/>
      <c r="T741" s="62"/>
      <c r="U741" s="62"/>
    </row>
    <row r="742" spans="3:21" ht="15.75" customHeight="1">
      <c r="C742" s="62"/>
      <c r="D742" s="62"/>
      <c r="E742" s="62"/>
      <c r="G742" s="62"/>
      <c r="H742" s="62"/>
      <c r="I742" s="62"/>
      <c r="L742" s="62"/>
      <c r="Q742" s="62"/>
      <c r="R742" s="62"/>
      <c r="T742" s="62"/>
      <c r="U742" s="62"/>
    </row>
    <row r="743" spans="3:21" ht="15.75" customHeight="1">
      <c r="C743" s="62"/>
      <c r="D743" s="62"/>
      <c r="E743" s="62"/>
      <c r="G743" s="62"/>
      <c r="H743" s="62"/>
      <c r="I743" s="62"/>
      <c r="L743" s="62"/>
      <c r="Q743" s="62"/>
      <c r="R743" s="62"/>
      <c r="T743" s="62"/>
      <c r="U743" s="62"/>
    </row>
    <row r="744" spans="3:21" ht="15.75" customHeight="1">
      <c r="C744" s="62"/>
      <c r="D744" s="62"/>
      <c r="E744" s="62"/>
      <c r="G744" s="62"/>
      <c r="H744" s="62"/>
      <c r="I744" s="62"/>
      <c r="L744" s="62"/>
      <c r="Q744" s="62"/>
      <c r="R744" s="62"/>
      <c r="T744" s="62"/>
      <c r="U744" s="62"/>
    </row>
    <row r="745" spans="3:21" ht="15.75" customHeight="1">
      <c r="C745" s="62"/>
      <c r="D745" s="62"/>
      <c r="E745" s="62"/>
      <c r="G745" s="62"/>
      <c r="H745" s="62"/>
      <c r="I745" s="62"/>
      <c r="L745" s="62"/>
      <c r="Q745" s="62"/>
      <c r="R745" s="62"/>
      <c r="T745" s="62"/>
      <c r="U745" s="62"/>
    </row>
    <row r="746" spans="3:21" ht="15.75" customHeight="1">
      <c r="C746" s="62"/>
      <c r="D746" s="62"/>
      <c r="E746" s="62"/>
      <c r="G746" s="62"/>
      <c r="H746" s="62"/>
      <c r="I746" s="62"/>
      <c r="L746" s="62"/>
      <c r="Q746" s="62"/>
      <c r="R746" s="62"/>
      <c r="T746" s="62"/>
      <c r="U746" s="62"/>
    </row>
    <row r="747" spans="3:21" ht="15.75" customHeight="1">
      <c r="C747" s="62"/>
      <c r="D747" s="62"/>
      <c r="E747" s="62"/>
      <c r="G747" s="62"/>
      <c r="H747" s="62"/>
      <c r="I747" s="62"/>
      <c r="L747" s="62"/>
      <c r="Q747" s="62"/>
      <c r="R747" s="62"/>
      <c r="T747" s="62"/>
      <c r="U747" s="62"/>
    </row>
    <row r="748" spans="3:21" ht="15.75" customHeight="1">
      <c r="C748" s="62"/>
      <c r="D748" s="62"/>
      <c r="E748" s="62"/>
      <c r="G748" s="62"/>
      <c r="H748" s="62"/>
      <c r="I748" s="62"/>
      <c r="L748" s="62"/>
      <c r="Q748" s="62"/>
      <c r="R748" s="62"/>
      <c r="T748" s="62"/>
      <c r="U748" s="62"/>
    </row>
    <row r="749" spans="3:21" ht="15.75" customHeight="1">
      <c r="C749" s="62"/>
      <c r="D749" s="62"/>
      <c r="E749" s="62"/>
      <c r="G749" s="62"/>
      <c r="H749" s="62"/>
      <c r="I749" s="62"/>
      <c r="L749" s="62"/>
      <c r="Q749" s="62"/>
      <c r="R749" s="62"/>
      <c r="T749" s="62"/>
      <c r="U749" s="62"/>
    </row>
    <row r="750" spans="3:21" ht="15.75" customHeight="1">
      <c r="C750" s="62"/>
      <c r="D750" s="62"/>
      <c r="E750" s="62"/>
      <c r="G750" s="62"/>
      <c r="H750" s="62"/>
      <c r="I750" s="62"/>
      <c r="L750" s="62"/>
      <c r="Q750" s="62"/>
      <c r="R750" s="62"/>
      <c r="T750" s="62"/>
      <c r="U750" s="62"/>
    </row>
    <row r="751" spans="3:21" ht="15.75" customHeight="1">
      <c r="C751" s="62"/>
      <c r="D751" s="62"/>
      <c r="E751" s="62"/>
      <c r="G751" s="62"/>
      <c r="H751" s="62"/>
      <c r="I751" s="62"/>
      <c r="L751" s="62"/>
      <c r="Q751" s="62"/>
      <c r="R751" s="62"/>
      <c r="T751" s="62"/>
      <c r="U751" s="62"/>
    </row>
    <row r="752" spans="3:21" ht="15.75" customHeight="1">
      <c r="C752" s="62"/>
      <c r="D752" s="62"/>
      <c r="E752" s="62"/>
      <c r="G752" s="62"/>
      <c r="H752" s="62"/>
      <c r="I752" s="62"/>
      <c r="L752" s="62"/>
      <c r="Q752" s="62"/>
      <c r="R752" s="62"/>
      <c r="T752" s="62"/>
      <c r="U752" s="62"/>
    </row>
    <row r="753" spans="3:21" ht="15.75" customHeight="1">
      <c r="C753" s="62"/>
      <c r="D753" s="62"/>
      <c r="E753" s="62"/>
      <c r="G753" s="62"/>
      <c r="H753" s="62"/>
      <c r="I753" s="62"/>
      <c r="L753" s="62"/>
      <c r="Q753" s="62"/>
      <c r="R753" s="62"/>
      <c r="T753" s="62"/>
      <c r="U753" s="62"/>
    </row>
    <row r="754" spans="3:21" ht="15.75" customHeight="1">
      <c r="C754" s="62"/>
      <c r="D754" s="62"/>
      <c r="E754" s="62"/>
      <c r="G754" s="62"/>
      <c r="H754" s="62"/>
      <c r="I754" s="62"/>
      <c r="L754" s="62"/>
      <c r="Q754" s="62"/>
      <c r="R754" s="62"/>
      <c r="T754" s="62"/>
      <c r="U754" s="62"/>
    </row>
    <row r="755" spans="3:21" ht="15.75" customHeight="1">
      <c r="C755" s="62"/>
      <c r="D755" s="62"/>
      <c r="E755" s="62"/>
      <c r="G755" s="62"/>
      <c r="H755" s="62"/>
      <c r="I755" s="62"/>
      <c r="L755" s="62"/>
      <c r="Q755" s="62"/>
      <c r="R755" s="62"/>
      <c r="T755" s="62"/>
      <c r="U755" s="62"/>
    </row>
    <row r="756" spans="3:21" ht="15.75" customHeight="1">
      <c r="C756" s="62"/>
      <c r="D756" s="62"/>
      <c r="E756" s="62"/>
      <c r="G756" s="62"/>
      <c r="H756" s="62"/>
      <c r="I756" s="62"/>
      <c r="L756" s="62"/>
      <c r="Q756" s="62"/>
      <c r="R756" s="62"/>
      <c r="T756" s="62"/>
      <c r="U756" s="62"/>
    </row>
    <row r="757" spans="3:21" ht="15.75" customHeight="1">
      <c r="C757" s="62"/>
      <c r="D757" s="62"/>
      <c r="E757" s="62"/>
      <c r="G757" s="62"/>
      <c r="H757" s="62"/>
      <c r="I757" s="62"/>
      <c r="L757" s="62"/>
      <c r="Q757" s="62"/>
      <c r="R757" s="62"/>
      <c r="T757" s="62"/>
      <c r="U757" s="62"/>
    </row>
    <row r="758" spans="3:21" ht="15.75" customHeight="1">
      <c r="C758" s="62"/>
      <c r="D758" s="62"/>
      <c r="E758" s="62"/>
      <c r="G758" s="62"/>
      <c r="H758" s="62"/>
      <c r="I758" s="62"/>
      <c r="L758" s="62"/>
      <c r="Q758" s="62"/>
      <c r="R758" s="62"/>
      <c r="T758" s="62"/>
      <c r="U758" s="62"/>
    </row>
    <row r="759" spans="3:21" ht="15.75" customHeight="1">
      <c r="C759" s="62"/>
      <c r="D759" s="62"/>
      <c r="E759" s="62"/>
      <c r="G759" s="62"/>
      <c r="H759" s="62"/>
      <c r="I759" s="62"/>
      <c r="L759" s="62"/>
      <c r="Q759" s="62"/>
      <c r="R759" s="62"/>
      <c r="T759" s="62"/>
      <c r="U759" s="62"/>
    </row>
    <row r="760" spans="3:21" ht="15.75" customHeight="1">
      <c r="C760" s="62"/>
      <c r="D760" s="62"/>
      <c r="E760" s="62"/>
      <c r="G760" s="62"/>
      <c r="H760" s="62"/>
      <c r="I760" s="62"/>
      <c r="L760" s="62"/>
      <c r="Q760" s="62"/>
      <c r="R760" s="62"/>
      <c r="T760" s="62"/>
      <c r="U760" s="62"/>
    </row>
    <row r="761" spans="3:21" ht="15.75" customHeight="1">
      <c r="C761" s="62"/>
      <c r="D761" s="62"/>
      <c r="E761" s="62"/>
      <c r="G761" s="62"/>
      <c r="H761" s="62"/>
      <c r="I761" s="62"/>
      <c r="L761" s="62"/>
      <c r="Q761" s="62"/>
      <c r="R761" s="62"/>
      <c r="T761" s="62"/>
      <c r="U761" s="62"/>
    </row>
    <row r="762" spans="3:21" ht="15.75" customHeight="1">
      <c r="C762" s="62"/>
      <c r="D762" s="62"/>
      <c r="E762" s="62"/>
      <c r="G762" s="62"/>
      <c r="H762" s="62"/>
      <c r="I762" s="62"/>
      <c r="L762" s="62"/>
      <c r="Q762" s="62"/>
      <c r="R762" s="62"/>
      <c r="T762" s="62"/>
      <c r="U762" s="62"/>
    </row>
    <row r="763" spans="3:21" ht="15.75" customHeight="1">
      <c r="C763" s="62"/>
      <c r="D763" s="62"/>
      <c r="E763" s="62"/>
      <c r="G763" s="62"/>
      <c r="H763" s="62"/>
      <c r="I763" s="62"/>
      <c r="L763" s="62"/>
      <c r="Q763" s="62"/>
      <c r="R763" s="62"/>
      <c r="T763" s="62"/>
      <c r="U763" s="62"/>
    </row>
    <row r="764" spans="3:21" ht="15.75" customHeight="1">
      <c r="C764" s="62"/>
      <c r="D764" s="62"/>
      <c r="E764" s="62"/>
      <c r="G764" s="62"/>
      <c r="H764" s="62"/>
      <c r="I764" s="62"/>
      <c r="L764" s="62"/>
      <c r="Q764" s="62"/>
      <c r="R764" s="62"/>
      <c r="T764" s="62"/>
      <c r="U764" s="62"/>
    </row>
    <row r="765" spans="3:21" ht="15.75" customHeight="1">
      <c r="C765" s="62"/>
      <c r="D765" s="62"/>
      <c r="E765" s="62"/>
      <c r="G765" s="62"/>
      <c r="H765" s="62"/>
      <c r="I765" s="62"/>
      <c r="L765" s="62"/>
      <c r="Q765" s="62"/>
      <c r="R765" s="62"/>
      <c r="T765" s="62"/>
      <c r="U765" s="62"/>
    </row>
    <row r="766" spans="3:21" ht="15.75" customHeight="1">
      <c r="C766" s="62"/>
      <c r="D766" s="62"/>
      <c r="E766" s="62"/>
      <c r="G766" s="62"/>
      <c r="H766" s="62"/>
      <c r="I766" s="62"/>
      <c r="L766" s="62"/>
      <c r="Q766" s="62"/>
      <c r="R766" s="62"/>
      <c r="T766" s="62"/>
      <c r="U766" s="62"/>
    </row>
    <row r="767" spans="3:21" ht="15.75" customHeight="1">
      <c r="C767" s="62"/>
      <c r="D767" s="62"/>
      <c r="E767" s="62"/>
      <c r="G767" s="62"/>
      <c r="H767" s="62"/>
      <c r="I767" s="62"/>
      <c r="L767" s="62"/>
      <c r="Q767" s="62"/>
      <c r="R767" s="62"/>
      <c r="T767" s="62"/>
      <c r="U767" s="62"/>
    </row>
    <row r="768" spans="3:21" ht="15.75" customHeight="1">
      <c r="C768" s="62"/>
      <c r="D768" s="62"/>
      <c r="E768" s="62"/>
      <c r="G768" s="62"/>
      <c r="H768" s="62"/>
      <c r="I768" s="62"/>
      <c r="L768" s="62"/>
      <c r="Q768" s="62"/>
      <c r="R768" s="62"/>
      <c r="T768" s="62"/>
      <c r="U768" s="62"/>
    </row>
    <row r="769" spans="3:21" ht="15.75" customHeight="1">
      <c r="C769" s="62"/>
      <c r="D769" s="62"/>
      <c r="E769" s="62"/>
      <c r="G769" s="62"/>
      <c r="H769" s="62"/>
      <c r="I769" s="62"/>
      <c r="L769" s="62"/>
      <c r="Q769" s="62"/>
      <c r="R769" s="62"/>
      <c r="T769" s="62"/>
      <c r="U769" s="62"/>
    </row>
    <row r="770" spans="3:21" ht="15.75" customHeight="1">
      <c r="C770" s="62"/>
      <c r="D770" s="62"/>
      <c r="E770" s="62"/>
      <c r="G770" s="62"/>
      <c r="H770" s="62"/>
      <c r="I770" s="62"/>
      <c r="L770" s="62"/>
      <c r="Q770" s="62"/>
      <c r="R770" s="62"/>
      <c r="T770" s="62"/>
      <c r="U770" s="62"/>
    </row>
    <row r="771" spans="3:21" ht="15.75" customHeight="1">
      <c r="C771" s="62"/>
      <c r="D771" s="62"/>
      <c r="E771" s="62"/>
      <c r="G771" s="62"/>
      <c r="H771" s="62"/>
      <c r="I771" s="62"/>
      <c r="L771" s="62"/>
      <c r="Q771" s="62"/>
      <c r="R771" s="62"/>
      <c r="T771" s="62"/>
      <c r="U771" s="62"/>
    </row>
    <row r="772" spans="3:21" ht="15.75" customHeight="1">
      <c r="C772" s="62"/>
      <c r="D772" s="62"/>
      <c r="E772" s="62"/>
      <c r="G772" s="62"/>
      <c r="H772" s="62"/>
      <c r="I772" s="62"/>
      <c r="L772" s="62"/>
      <c r="Q772" s="62"/>
      <c r="R772" s="62"/>
      <c r="T772" s="62"/>
      <c r="U772" s="62"/>
    </row>
    <row r="773" spans="3:21" ht="15.75" customHeight="1">
      <c r="C773" s="62"/>
      <c r="D773" s="62"/>
      <c r="E773" s="62"/>
      <c r="G773" s="62"/>
      <c r="H773" s="62"/>
      <c r="I773" s="62"/>
      <c r="L773" s="62"/>
      <c r="Q773" s="62"/>
      <c r="R773" s="62"/>
      <c r="T773" s="62"/>
      <c r="U773" s="62"/>
    </row>
    <row r="774" spans="3:21" ht="15.75" customHeight="1">
      <c r="C774" s="62"/>
      <c r="D774" s="62"/>
      <c r="E774" s="62"/>
      <c r="G774" s="62"/>
      <c r="H774" s="62"/>
      <c r="I774" s="62"/>
      <c r="L774" s="62"/>
      <c r="Q774" s="62"/>
      <c r="R774" s="62"/>
      <c r="T774" s="62"/>
      <c r="U774" s="62"/>
    </row>
    <row r="775" spans="3:21" ht="15.75" customHeight="1">
      <c r="C775" s="62"/>
      <c r="D775" s="62"/>
      <c r="E775" s="62"/>
      <c r="G775" s="62"/>
      <c r="H775" s="62"/>
      <c r="I775" s="62"/>
      <c r="L775" s="62"/>
      <c r="Q775" s="62"/>
      <c r="R775" s="62"/>
      <c r="T775" s="62"/>
      <c r="U775" s="62"/>
    </row>
    <row r="776" spans="3:21" ht="15.75" customHeight="1">
      <c r="C776" s="62"/>
      <c r="D776" s="62"/>
      <c r="E776" s="62"/>
      <c r="G776" s="62"/>
      <c r="H776" s="62"/>
      <c r="I776" s="62"/>
      <c r="L776" s="62"/>
      <c r="Q776" s="62"/>
      <c r="R776" s="62"/>
      <c r="T776" s="62"/>
      <c r="U776" s="62"/>
    </row>
    <row r="777" spans="3:21" ht="15.75" customHeight="1">
      <c r="C777" s="62"/>
      <c r="D777" s="62"/>
      <c r="E777" s="62"/>
      <c r="G777" s="62"/>
      <c r="H777" s="62"/>
      <c r="I777" s="62"/>
      <c r="L777" s="62"/>
      <c r="Q777" s="62"/>
      <c r="R777" s="62"/>
      <c r="T777" s="62"/>
      <c r="U777" s="62"/>
    </row>
    <row r="778" spans="3:21" ht="15.75" customHeight="1">
      <c r="C778" s="62"/>
      <c r="D778" s="62"/>
      <c r="E778" s="62"/>
      <c r="G778" s="62"/>
      <c r="H778" s="62"/>
      <c r="I778" s="62"/>
      <c r="L778" s="62"/>
      <c r="Q778" s="62"/>
      <c r="R778" s="62"/>
      <c r="T778" s="62"/>
      <c r="U778" s="62"/>
    </row>
    <row r="779" spans="3:21" ht="15.75" customHeight="1">
      <c r="C779" s="62"/>
      <c r="D779" s="62"/>
      <c r="E779" s="62"/>
      <c r="G779" s="62"/>
      <c r="H779" s="62"/>
      <c r="I779" s="62"/>
      <c r="L779" s="62"/>
      <c r="Q779" s="62"/>
      <c r="R779" s="62"/>
      <c r="T779" s="62"/>
      <c r="U779" s="62"/>
    </row>
    <row r="780" spans="3:21" ht="15.75" customHeight="1">
      <c r="C780" s="62"/>
      <c r="D780" s="62"/>
      <c r="E780" s="62"/>
      <c r="G780" s="62"/>
      <c r="H780" s="62"/>
      <c r="I780" s="62"/>
      <c r="L780" s="62"/>
      <c r="Q780" s="62"/>
      <c r="R780" s="62"/>
      <c r="T780" s="62"/>
      <c r="U780" s="62"/>
    </row>
    <row r="781" spans="3:21" ht="15.75" customHeight="1">
      <c r="C781" s="62"/>
      <c r="D781" s="62"/>
      <c r="E781" s="62"/>
      <c r="G781" s="62"/>
      <c r="H781" s="62"/>
      <c r="I781" s="62"/>
      <c r="L781" s="62"/>
      <c r="Q781" s="62"/>
      <c r="R781" s="62"/>
      <c r="T781" s="62"/>
      <c r="U781" s="62"/>
    </row>
    <row r="782" spans="3:21" ht="15.75" customHeight="1">
      <c r="C782" s="62"/>
      <c r="D782" s="62"/>
      <c r="E782" s="62"/>
      <c r="G782" s="62"/>
      <c r="H782" s="62"/>
      <c r="I782" s="62"/>
      <c r="L782" s="62"/>
      <c r="Q782" s="62"/>
      <c r="R782" s="62"/>
      <c r="T782" s="62"/>
      <c r="U782" s="62"/>
    </row>
    <row r="783" spans="3:21" ht="15.75" customHeight="1">
      <c r="C783" s="62"/>
      <c r="D783" s="62"/>
      <c r="E783" s="62"/>
      <c r="G783" s="62"/>
      <c r="H783" s="62"/>
      <c r="I783" s="62"/>
      <c r="L783" s="62"/>
      <c r="Q783" s="62"/>
      <c r="R783" s="62"/>
      <c r="T783" s="62"/>
      <c r="U783" s="62"/>
    </row>
    <row r="784" spans="3:21" ht="15.75" customHeight="1">
      <c r="C784" s="62"/>
      <c r="D784" s="62"/>
      <c r="E784" s="62"/>
      <c r="G784" s="62"/>
      <c r="H784" s="62"/>
      <c r="I784" s="62"/>
      <c r="L784" s="62"/>
      <c r="Q784" s="62"/>
      <c r="R784" s="62"/>
      <c r="T784" s="62"/>
      <c r="U784" s="62"/>
    </row>
    <row r="785" spans="3:21" ht="15.75" customHeight="1">
      <c r="C785" s="62"/>
      <c r="D785" s="62"/>
      <c r="E785" s="62"/>
      <c r="G785" s="62"/>
      <c r="H785" s="62"/>
      <c r="I785" s="62"/>
      <c r="L785" s="62"/>
      <c r="Q785" s="62"/>
      <c r="R785" s="62"/>
      <c r="T785" s="62"/>
      <c r="U785" s="62"/>
    </row>
    <row r="786" spans="3:21" ht="15.75" customHeight="1">
      <c r="C786" s="62"/>
      <c r="D786" s="62"/>
      <c r="E786" s="62"/>
      <c r="G786" s="62"/>
      <c r="H786" s="62"/>
      <c r="I786" s="62"/>
      <c r="L786" s="62"/>
      <c r="Q786" s="62"/>
      <c r="R786" s="62"/>
      <c r="T786" s="62"/>
      <c r="U786" s="62"/>
    </row>
    <row r="787" spans="3:21" ht="15.75" customHeight="1">
      <c r="C787" s="62"/>
      <c r="D787" s="62"/>
      <c r="E787" s="62"/>
      <c r="G787" s="62"/>
      <c r="H787" s="62"/>
      <c r="I787" s="62"/>
      <c r="L787" s="62"/>
      <c r="Q787" s="62"/>
      <c r="R787" s="62"/>
      <c r="T787" s="62"/>
      <c r="U787" s="62"/>
    </row>
    <row r="788" spans="3:21" ht="15.75" customHeight="1">
      <c r="C788" s="62"/>
      <c r="D788" s="62"/>
      <c r="E788" s="62"/>
      <c r="G788" s="62"/>
      <c r="H788" s="62"/>
      <c r="I788" s="62"/>
      <c r="L788" s="62"/>
      <c r="Q788" s="62"/>
      <c r="R788" s="62"/>
      <c r="T788" s="62"/>
      <c r="U788" s="62"/>
    </row>
    <row r="789" spans="3:21" ht="15.75" customHeight="1">
      <c r="C789" s="62"/>
      <c r="D789" s="62"/>
      <c r="E789" s="62"/>
      <c r="G789" s="62"/>
      <c r="H789" s="62"/>
      <c r="I789" s="62"/>
      <c r="L789" s="62"/>
      <c r="Q789" s="62"/>
      <c r="R789" s="62"/>
      <c r="T789" s="62"/>
      <c r="U789" s="62"/>
    </row>
    <row r="790" spans="3:21" ht="15.75" customHeight="1">
      <c r="C790" s="62"/>
      <c r="D790" s="62"/>
      <c r="E790" s="62"/>
      <c r="G790" s="62"/>
      <c r="H790" s="62"/>
      <c r="I790" s="62"/>
      <c r="L790" s="62"/>
      <c r="Q790" s="62"/>
      <c r="R790" s="62"/>
      <c r="T790" s="62"/>
      <c r="U790" s="62"/>
    </row>
    <row r="791" spans="3:21" ht="15.75" customHeight="1">
      <c r="C791" s="62"/>
      <c r="D791" s="62"/>
      <c r="E791" s="62"/>
      <c r="G791" s="62"/>
      <c r="H791" s="62"/>
      <c r="I791" s="62"/>
      <c r="L791" s="62"/>
      <c r="Q791" s="62"/>
      <c r="R791" s="62"/>
      <c r="T791" s="62"/>
      <c r="U791" s="62"/>
    </row>
    <row r="792" spans="3:21" ht="15.75" customHeight="1">
      <c r="C792" s="62"/>
      <c r="D792" s="62"/>
      <c r="E792" s="62"/>
      <c r="G792" s="62"/>
      <c r="H792" s="62"/>
      <c r="I792" s="62"/>
      <c r="L792" s="62"/>
      <c r="Q792" s="62"/>
      <c r="R792" s="62"/>
      <c r="T792" s="62"/>
      <c r="U792" s="62"/>
    </row>
    <row r="793" spans="3:21" ht="15.75" customHeight="1">
      <c r="C793" s="62"/>
      <c r="D793" s="62"/>
      <c r="E793" s="62"/>
      <c r="G793" s="62"/>
      <c r="H793" s="62"/>
      <c r="I793" s="62"/>
      <c r="L793" s="62"/>
      <c r="Q793" s="62"/>
      <c r="R793" s="62"/>
      <c r="T793" s="62"/>
      <c r="U793" s="62"/>
    </row>
    <row r="794" spans="3:21" ht="15.75" customHeight="1">
      <c r="C794" s="62"/>
      <c r="D794" s="62"/>
      <c r="E794" s="62"/>
      <c r="G794" s="62"/>
      <c r="H794" s="62"/>
      <c r="I794" s="62"/>
      <c r="L794" s="62"/>
      <c r="Q794" s="62"/>
      <c r="R794" s="62"/>
      <c r="T794" s="62"/>
      <c r="U794" s="62"/>
    </row>
    <row r="795" spans="3:21" ht="15.75" customHeight="1">
      <c r="C795" s="62"/>
      <c r="D795" s="62"/>
      <c r="E795" s="62"/>
      <c r="G795" s="62"/>
      <c r="H795" s="62"/>
      <c r="I795" s="62"/>
      <c r="L795" s="62"/>
      <c r="Q795" s="62"/>
      <c r="R795" s="62"/>
      <c r="T795" s="62"/>
      <c r="U795" s="62"/>
    </row>
    <row r="796" spans="3:21" ht="15.75" customHeight="1">
      <c r="C796" s="62"/>
      <c r="D796" s="62"/>
      <c r="E796" s="62"/>
      <c r="G796" s="62"/>
      <c r="H796" s="62"/>
      <c r="I796" s="62"/>
      <c r="L796" s="62"/>
      <c r="Q796" s="62"/>
      <c r="R796" s="62"/>
      <c r="T796" s="62"/>
      <c r="U796" s="62"/>
    </row>
    <row r="797" spans="3:21" ht="15.75" customHeight="1">
      <c r="C797" s="62"/>
      <c r="D797" s="62"/>
      <c r="E797" s="62"/>
      <c r="G797" s="62"/>
      <c r="H797" s="62"/>
      <c r="I797" s="62"/>
      <c r="L797" s="62"/>
      <c r="Q797" s="62"/>
      <c r="R797" s="62"/>
      <c r="T797" s="62"/>
      <c r="U797" s="62"/>
    </row>
    <row r="798" spans="3:21" ht="15.75" customHeight="1">
      <c r="C798" s="62"/>
      <c r="D798" s="62"/>
      <c r="E798" s="62"/>
      <c r="G798" s="62"/>
      <c r="H798" s="62"/>
      <c r="I798" s="62"/>
      <c r="L798" s="62"/>
      <c r="Q798" s="62"/>
      <c r="R798" s="62"/>
      <c r="T798" s="62"/>
      <c r="U798" s="62"/>
    </row>
    <row r="799" spans="3:21" ht="15.75" customHeight="1">
      <c r="C799" s="62"/>
      <c r="D799" s="62"/>
      <c r="E799" s="62"/>
      <c r="G799" s="62"/>
      <c r="H799" s="62"/>
      <c r="I799" s="62"/>
      <c r="L799" s="62"/>
      <c r="Q799" s="62"/>
      <c r="R799" s="62"/>
      <c r="T799" s="62"/>
      <c r="U799" s="62"/>
    </row>
    <row r="800" spans="3:21" ht="15.75" customHeight="1">
      <c r="C800" s="62"/>
      <c r="D800" s="62"/>
      <c r="E800" s="62"/>
      <c r="G800" s="62"/>
      <c r="H800" s="62"/>
      <c r="I800" s="62"/>
      <c r="L800" s="62"/>
      <c r="Q800" s="62"/>
      <c r="R800" s="62"/>
      <c r="T800" s="62"/>
      <c r="U800" s="62"/>
    </row>
    <row r="801" spans="3:21" ht="15.75" customHeight="1">
      <c r="C801" s="62"/>
      <c r="D801" s="62"/>
      <c r="E801" s="62"/>
      <c r="G801" s="62"/>
      <c r="H801" s="62"/>
      <c r="I801" s="62"/>
      <c r="L801" s="62"/>
      <c r="Q801" s="62"/>
      <c r="R801" s="62"/>
      <c r="T801" s="62"/>
      <c r="U801" s="62"/>
    </row>
    <row r="802" spans="3:21" ht="15.75" customHeight="1">
      <c r="C802" s="62"/>
      <c r="D802" s="62"/>
      <c r="E802" s="62"/>
      <c r="G802" s="62"/>
      <c r="H802" s="62"/>
      <c r="I802" s="62"/>
      <c r="L802" s="62"/>
      <c r="Q802" s="62"/>
      <c r="R802" s="62"/>
      <c r="T802" s="62"/>
      <c r="U802" s="62"/>
    </row>
    <row r="803" spans="3:21" ht="15.75" customHeight="1">
      <c r="C803" s="62"/>
      <c r="D803" s="62"/>
      <c r="E803" s="62"/>
      <c r="G803" s="62"/>
      <c r="H803" s="62"/>
      <c r="I803" s="62"/>
      <c r="L803" s="62"/>
      <c r="Q803" s="62"/>
      <c r="R803" s="62"/>
      <c r="T803" s="62"/>
      <c r="U803" s="62"/>
    </row>
    <row r="804" spans="3:21" ht="15.75" customHeight="1">
      <c r="C804" s="62"/>
      <c r="D804" s="62"/>
      <c r="E804" s="62"/>
      <c r="G804" s="62"/>
      <c r="H804" s="62"/>
      <c r="I804" s="62"/>
      <c r="L804" s="62"/>
      <c r="Q804" s="62"/>
      <c r="R804" s="62"/>
      <c r="T804" s="62"/>
      <c r="U804" s="62"/>
    </row>
    <row r="805" spans="3:21" ht="15.75" customHeight="1">
      <c r="C805" s="62"/>
      <c r="D805" s="62"/>
      <c r="E805" s="62"/>
      <c r="G805" s="62"/>
      <c r="H805" s="62"/>
      <c r="I805" s="62"/>
      <c r="L805" s="62"/>
      <c r="Q805" s="62"/>
      <c r="R805" s="62"/>
      <c r="T805" s="62"/>
      <c r="U805" s="62"/>
    </row>
    <row r="806" spans="3:21" ht="15.75" customHeight="1">
      <c r="C806" s="62"/>
      <c r="D806" s="62"/>
      <c r="E806" s="62"/>
      <c r="G806" s="62"/>
      <c r="H806" s="62"/>
      <c r="I806" s="62"/>
      <c r="L806" s="62"/>
      <c r="Q806" s="62"/>
      <c r="R806" s="62"/>
      <c r="T806" s="62"/>
      <c r="U806" s="62"/>
    </row>
    <row r="807" spans="3:21" ht="15.75" customHeight="1">
      <c r="C807" s="62"/>
      <c r="D807" s="62"/>
      <c r="E807" s="62"/>
      <c r="G807" s="62"/>
      <c r="H807" s="62"/>
      <c r="I807" s="62"/>
      <c r="L807" s="62"/>
      <c r="Q807" s="62"/>
      <c r="R807" s="62"/>
      <c r="T807" s="62"/>
      <c r="U807" s="62"/>
    </row>
    <row r="808" spans="3:21" ht="15.75" customHeight="1">
      <c r="C808" s="62"/>
      <c r="D808" s="62"/>
      <c r="E808" s="62"/>
      <c r="G808" s="62"/>
      <c r="H808" s="62"/>
      <c r="I808" s="62"/>
      <c r="L808" s="62"/>
      <c r="Q808" s="62"/>
      <c r="R808" s="62"/>
      <c r="T808" s="62"/>
      <c r="U808" s="62"/>
    </row>
    <row r="809" spans="3:21" ht="15.75" customHeight="1">
      <c r="C809" s="62"/>
      <c r="D809" s="62"/>
      <c r="E809" s="62"/>
      <c r="G809" s="62"/>
      <c r="H809" s="62"/>
      <c r="I809" s="62"/>
      <c r="L809" s="62"/>
      <c r="Q809" s="62"/>
      <c r="R809" s="62"/>
      <c r="T809" s="62"/>
      <c r="U809" s="62"/>
    </row>
    <row r="810" spans="3:21" ht="15.75" customHeight="1">
      <c r="C810" s="62"/>
      <c r="D810" s="62"/>
      <c r="E810" s="62"/>
      <c r="G810" s="62"/>
      <c r="H810" s="62"/>
      <c r="I810" s="62"/>
      <c r="L810" s="62"/>
      <c r="Q810" s="62"/>
      <c r="R810" s="62"/>
      <c r="T810" s="62"/>
      <c r="U810" s="62"/>
    </row>
    <row r="811" spans="3:21" ht="15.75" customHeight="1">
      <c r="C811" s="62"/>
      <c r="D811" s="62"/>
      <c r="E811" s="62"/>
      <c r="G811" s="62"/>
      <c r="H811" s="62"/>
      <c r="I811" s="62"/>
      <c r="L811" s="62"/>
      <c r="Q811" s="62"/>
      <c r="R811" s="62"/>
      <c r="T811" s="62"/>
      <c r="U811" s="62"/>
    </row>
    <row r="812" spans="3:21" ht="15.75" customHeight="1">
      <c r="C812" s="62"/>
      <c r="D812" s="62"/>
      <c r="E812" s="62"/>
      <c r="G812" s="62"/>
      <c r="H812" s="62"/>
      <c r="I812" s="62"/>
      <c r="L812" s="62"/>
      <c r="Q812" s="62"/>
      <c r="R812" s="62"/>
      <c r="T812" s="62"/>
      <c r="U812" s="62"/>
    </row>
    <row r="813" spans="3:21" ht="15.75" customHeight="1">
      <c r="C813" s="62"/>
      <c r="D813" s="62"/>
      <c r="E813" s="62"/>
      <c r="G813" s="62"/>
      <c r="H813" s="62"/>
      <c r="I813" s="62"/>
      <c r="L813" s="62"/>
      <c r="Q813" s="62"/>
      <c r="R813" s="62"/>
      <c r="T813" s="62"/>
      <c r="U813" s="62"/>
    </row>
    <row r="814" spans="3:21" ht="15.75" customHeight="1">
      <c r="C814" s="62"/>
      <c r="D814" s="62"/>
      <c r="E814" s="62"/>
      <c r="G814" s="62"/>
      <c r="H814" s="62"/>
      <c r="I814" s="62"/>
      <c r="L814" s="62"/>
      <c r="Q814" s="62"/>
      <c r="R814" s="62"/>
      <c r="T814" s="62"/>
      <c r="U814" s="62"/>
    </row>
    <row r="815" spans="3:21" ht="15.75" customHeight="1">
      <c r="C815" s="62"/>
      <c r="D815" s="62"/>
      <c r="E815" s="62"/>
      <c r="G815" s="62"/>
      <c r="H815" s="62"/>
      <c r="I815" s="62"/>
      <c r="L815" s="62"/>
      <c r="Q815" s="62"/>
      <c r="R815" s="62"/>
      <c r="T815" s="62"/>
      <c r="U815" s="62"/>
    </row>
    <row r="816" spans="3:21" ht="15.75" customHeight="1">
      <c r="C816" s="62"/>
      <c r="D816" s="62"/>
      <c r="E816" s="62"/>
      <c r="G816" s="62"/>
      <c r="H816" s="62"/>
      <c r="I816" s="62"/>
      <c r="L816" s="62"/>
      <c r="Q816" s="62"/>
      <c r="R816" s="62"/>
      <c r="T816" s="62"/>
      <c r="U816" s="62"/>
    </row>
    <row r="817" spans="3:21" ht="15.75" customHeight="1">
      <c r="C817" s="62"/>
      <c r="D817" s="62"/>
      <c r="E817" s="62"/>
      <c r="G817" s="62"/>
      <c r="H817" s="62"/>
      <c r="I817" s="62"/>
      <c r="L817" s="62"/>
      <c r="Q817" s="62"/>
      <c r="R817" s="62"/>
      <c r="T817" s="62"/>
      <c r="U817" s="62"/>
    </row>
    <row r="818" spans="3:21" ht="15.75" customHeight="1">
      <c r="C818" s="62"/>
      <c r="D818" s="62"/>
      <c r="E818" s="62"/>
      <c r="G818" s="62"/>
      <c r="H818" s="62"/>
      <c r="I818" s="62"/>
      <c r="L818" s="62"/>
      <c r="Q818" s="62"/>
      <c r="R818" s="62"/>
      <c r="T818" s="62"/>
      <c r="U818" s="62"/>
    </row>
    <row r="819" spans="3:21" ht="15.75" customHeight="1">
      <c r="C819" s="62"/>
      <c r="D819" s="62"/>
      <c r="E819" s="62"/>
      <c r="G819" s="62"/>
      <c r="H819" s="62"/>
      <c r="I819" s="62"/>
      <c r="L819" s="62"/>
      <c r="Q819" s="62"/>
      <c r="R819" s="62"/>
      <c r="T819" s="62"/>
      <c r="U819" s="62"/>
    </row>
    <row r="820" spans="3:21" ht="15.75" customHeight="1">
      <c r="C820" s="62"/>
      <c r="D820" s="62"/>
      <c r="E820" s="62"/>
      <c r="G820" s="62"/>
      <c r="H820" s="62"/>
      <c r="I820" s="62"/>
      <c r="L820" s="62"/>
      <c r="Q820" s="62"/>
      <c r="R820" s="62"/>
      <c r="T820" s="62"/>
      <c r="U820" s="62"/>
    </row>
    <row r="821" spans="3:21" ht="15.75" customHeight="1">
      <c r="C821" s="62"/>
      <c r="D821" s="62"/>
      <c r="E821" s="62"/>
      <c r="G821" s="62"/>
      <c r="H821" s="62"/>
      <c r="I821" s="62"/>
      <c r="L821" s="62"/>
      <c r="Q821" s="62"/>
      <c r="R821" s="62"/>
      <c r="T821" s="62"/>
      <c r="U821" s="62"/>
    </row>
    <row r="822" spans="3:21" ht="15.75" customHeight="1">
      <c r="C822" s="62"/>
      <c r="D822" s="62"/>
      <c r="E822" s="62"/>
      <c r="G822" s="62"/>
      <c r="H822" s="62"/>
      <c r="I822" s="62"/>
      <c r="L822" s="62"/>
      <c r="Q822" s="62"/>
      <c r="R822" s="62"/>
      <c r="T822" s="62"/>
      <c r="U822" s="62"/>
    </row>
    <row r="823" spans="3:21" ht="15.75" customHeight="1">
      <c r="C823" s="62"/>
      <c r="D823" s="62"/>
      <c r="E823" s="62"/>
      <c r="G823" s="62"/>
      <c r="H823" s="62"/>
      <c r="I823" s="62"/>
      <c r="L823" s="62"/>
      <c r="Q823" s="62"/>
      <c r="R823" s="62"/>
      <c r="T823" s="62"/>
      <c r="U823" s="62"/>
    </row>
    <row r="824" spans="3:21" ht="15.75" customHeight="1">
      <c r="C824" s="62"/>
      <c r="D824" s="62"/>
      <c r="E824" s="62"/>
      <c r="G824" s="62"/>
      <c r="H824" s="62"/>
      <c r="I824" s="62"/>
      <c r="L824" s="62"/>
      <c r="Q824" s="62"/>
      <c r="R824" s="62"/>
      <c r="T824" s="62"/>
      <c r="U824" s="62"/>
    </row>
    <row r="825" spans="3:21" ht="15.75" customHeight="1">
      <c r="C825" s="62"/>
      <c r="D825" s="62"/>
      <c r="E825" s="62"/>
      <c r="G825" s="62"/>
      <c r="H825" s="62"/>
      <c r="I825" s="62"/>
      <c r="L825" s="62"/>
      <c r="Q825" s="62"/>
      <c r="R825" s="62"/>
      <c r="T825" s="62"/>
      <c r="U825" s="62"/>
    </row>
    <row r="826" spans="3:21" ht="15.75" customHeight="1">
      <c r="C826" s="62"/>
      <c r="D826" s="62"/>
      <c r="E826" s="62"/>
      <c r="G826" s="62"/>
      <c r="H826" s="62"/>
      <c r="I826" s="62"/>
      <c r="L826" s="62"/>
      <c r="Q826" s="62"/>
      <c r="R826" s="62"/>
      <c r="T826" s="62"/>
      <c r="U826" s="62"/>
    </row>
    <row r="827" spans="3:21" ht="15.75" customHeight="1">
      <c r="C827" s="62"/>
      <c r="D827" s="62"/>
      <c r="E827" s="62"/>
      <c r="G827" s="62"/>
      <c r="H827" s="62"/>
      <c r="I827" s="62"/>
      <c r="L827" s="62"/>
      <c r="Q827" s="62"/>
      <c r="R827" s="62"/>
      <c r="T827" s="62"/>
      <c r="U827" s="62"/>
    </row>
    <row r="828" spans="3:21" ht="15.75" customHeight="1">
      <c r="C828" s="62"/>
      <c r="D828" s="62"/>
      <c r="E828" s="62"/>
      <c r="G828" s="62"/>
      <c r="H828" s="62"/>
      <c r="I828" s="62"/>
      <c r="L828" s="62"/>
      <c r="Q828" s="62"/>
      <c r="R828" s="62"/>
      <c r="T828" s="62"/>
      <c r="U828" s="62"/>
    </row>
    <row r="829" spans="3:21" ht="15.75" customHeight="1">
      <c r="C829" s="62"/>
      <c r="D829" s="62"/>
      <c r="E829" s="62"/>
      <c r="G829" s="62"/>
      <c r="H829" s="62"/>
      <c r="I829" s="62"/>
      <c r="L829" s="62"/>
      <c r="Q829" s="62"/>
      <c r="R829" s="62"/>
      <c r="T829" s="62"/>
      <c r="U829" s="62"/>
    </row>
    <row r="830" spans="3:21" ht="15.75" customHeight="1">
      <c r="C830" s="62"/>
      <c r="D830" s="62"/>
      <c r="E830" s="62"/>
      <c r="G830" s="62"/>
      <c r="H830" s="62"/>
      <c r="I830" s="62"/>
      <c r="L830" s="62"/>
      <c r="Q830" s="62"/>
      <c r="R830" s="62"/>
      <c r="T830" s="62"/>
      <c r="U830" s="62"/>
    </row>
    <row r="831" spans="3:21" ht="15.75" customHeight="1">
      <c r="C831" s="62"/>
      <c r="D831" s="62"/>
      <c r="E831" s="62"/>
      <c r="G831" s="62"/>
      <c r="H831" s="62"/>
      <c r="I831" s="62"/>
      <c r="L831" s="62"/>
      <c r="Q831" s="62"/>
      <c r="R831" s="62"/>
      <c r="T831" s="62"/>
      <c r="U831" s="62"/>
    </row>
    <row r="832" spans="3:21" ht="15.75" customHeight="1">
      <c r="C832" s="62"/>
      <c r="D832" s="62"/>
      <c r="E832" s="62"/>
      <c r="G832" s="62"/>
      <c r="H832" s="62"/>
      <c r="I832" s="62"/>
      <c r="L832" s="62"/>
      <c r="Q832" s="62"/>
      <c r="R832" s="62"/>
      <c r="T832" s="62"/>
      <c r="U832" s="62"/>
    </row>
    <row r="833" spans="3:21" ht="15.75" customHeight="1">
      <c r="C833" s="62"/>
      <c r="D833" s="62"/>
      <c r="E833" s="62"/>
      <c r="G833" s="62"/>
      <c r="H833" s="62"/>
      <c r="I833" s="62"/>
      <c r="L833" s="62"/>
      <c r="Q833" s="62"/>
      <c r="R833" s="62"/>
      <c r="T833" s="62"/>
      <c r="U833" s="62"/>
    </row>
    <row r="834" spans="3:21" ht="15.75" customHeight="1">
      <c r="C834" s="62"/>
      <c r="D834" s="62"/>
      <c r="E834" s="62"/>
      <c r="G834" s="62"/>
      <c r="H834" s="62"/>
      <c r="I834" s="62"/>
      <c r="L834" s="62"/>
      <c r="Q834" s="62"/>
      <c r="R834" s="62"/>
      <c r="T834" s="62"/>
      <c r="U834" s="62"/>
    </row>
    <row r="835" spans="3:21" ht="15.75" customHeight="1">
      <c r="C835" s="62"/>
      <c r="D835" s="62"/>
      <c r="E835" s="62"/>
      <c r="G835" s="62"/>
      <c r="H835" s="62"/>
      <c r="I835" s="62"/>
      <c r="L835" s="62"/>
      <c r="Q835" s="62"/>
      <c r="R835" s="62"/>
      <c r="T835" s="62"/>
      <c r="U835" s="62"/>
    </row>
    <row r="836" spans="3:21" ht="15.75" customHeight="1">
      <c r="C836" s="62"/>
      <c r="D836" s="62"/>
      <c r="E836" s="62"/>
      <c r="G836" s="62"/>
      <c r="H836" s="62"/>
      <c r="I836" s="62"/>
      <c r="L836" s="62"/>
      <c r="Q836" s="62"/>
      <c r="R836" s="62"/>
      <c r="T836" s="62"/>
      <c r="U836" s="62"/>
    </row>
    <row r="837" spans="3:21" ht="15.75" customHeight="1">
      <c r="C837" s="62"/>
      <c r="D837" s="62"/>
      <c r="E837" s="62"/>
      <c r="G837" s="62"/>
      <c r="H837" s="62"/>
      <c r="I837" s="62"/>
      <c r="L837" s="62"/>
      <c r="Q837" s="62"/>
      <c r="R837" s="62"/>
      <c r="T837" s="62"/>
      <c r="U837" s="62"/>
    </row>
    <row r="838" spans="3:21" ht="15.75" customHeight="1">
      <c r="C838" s="62"/>
      <c r="D838" s="62"/>
      <c r="E838" s="62"/>
      <c r="G838" s="62"/>
      <c r="H838" s="62"/>
      <c r="I838" s="62"/>
      <c r="L838" s="62"/>
      <c r="Q838" s="62"/>
      <c r="R838" s="62"/>
      <c r="T838" s="62"/>
      <c r="U838" s="62"/>
    </row>
    <row r="839" spans="3:21" ht="15.75" customHeight="1">
      <c r="C839" s="62"/>
      <c r="D839" s="62"/>
      <c r="E839" s="62"/>
      <c r="G839" s="62"/>
      <c r="H839" s="62"/>
      <c r="I839" s="62"/>
      <c r="L839" s="62"/>
      <c r="Q839" s="62"/>
      <c r="R839" s="62"/>
      <c r="T839" s="62"/>
      <c r="U839" s="62"/>
    </row>
    <row r="840" spans="3:21" ht="15.75" customHeight="1">
      <c r="C840" s="62"/>
      <c r="D840" s="62"/>
      <c r="E840" s="62"/>
      <c r="G840" s="62"/>
      <c r="H840" s="62"/>
      <c r="I840" s="62"/>
      <c r="L840" s="62"/>
      <c r="Q840" s="62"/>
      <c r="R840" s="62"/>
      <c r="T840" s="62"/>
      <c r="U840" s="62"/>
    </row>
    <row r="841" spans="3:21" ht="15.75" customHeight="1">
      <c r="C841" s="62"/>
      <c r="D841" s="62"/>
      <c r="E841" s="62"/>
      <c r="G841" s="62"/>
      <c r="H841" s="62"/>
      <c r="I841" s="62"/>
      <c r="L841" s="62"/>
      <c r="Q841" s="62"/>
      <c r="R841" s="62"/>
      <c r="T841" s="62"/>
      <c r="U841" s="62"/>
    </row>
    <row r="842" spans="3:21" ht="15.75" customHeight="1">
      <c r="C842" s="62"/>
      <c r="D842" s="62"/>
      <c r="E842" s="62"/>
      <c r="G842" s="62"/>
      <c r="H842" s="62"/>
      <c r="I842" s="62"/>
      <c r="L842" s="62"/>
      <c r="Q842" s="62"/>
      <c r="R842" s="62"/>
      <c r="T842" s="62"/>
      <c r="U842" s="62"/>
    </row>
    <row r="843" spans="3:21" ht="15.75" customHeight="1">
      <c r="C843" s="62"/>
      <c r="D843" s="62"/>
      <c r="E843" s="62"/>
      <c r="G843" s="62"/>
      <c r="H843" s="62"/>
      <c r="I843" s="62"/>
      <c r="L843" s="62"/>
      <c r="Q843" s="62"/>
      <c r="R843" s="62"/>
      <c r="T843" s="62"/>
      <c r="U843" s="62"/>
    </row>
    <row r="844" spans="3:21" ht="15.75" customHeight="1">
      <c r="C844" s="62"/>
      <c r="D844" s="62"/>
      <c r="E844" s="62"/>
      <c r="G844" s="62"/>
      <c r="H844" s="62"/>
      <c r="I844" s="62"/>
      <c r="L844" s="62"/>
      <c r="Q844" s="62"/>
      <c r="R844" s="62"/>
      <c r="T844" s="62"/>
      <c r="U844" s="62"/>
    </row>
    <row r="845" spans="3:21" ht="15.75" customHeight="1">
      <c r="C845" s="62"/>
      <c r="D845" s="62"/>
      <c r="E845" s="62"/>
      <c r="G845" s="62"/>
      <c r="H845" s="62"/>
      <c r="I845" s="62"/>
      <c r="L845" s="62"/>
      <c r="Q845" s="62"/>
      <c r="R845" s="62"/>
      <c r="T845" s="62"/>
      <c r="U845" s="62"/>
    </row>
    <row r="846" spans="3:21" ht="15.75" customHeight="1">
      <c r="C846" s="62"/>
      <c r="D846" s="62"/>
      <c r="E846" s="62"/>
      <c r="G846" s="62"/>
      <c r="H846" s="62"/>
      <c r="I846" s="62"/>
      <c r="L846" s="62"/>
      <c r="Q846" s="62"/>
      <c r="R846" s="62"/>
      <c r="T846" s="62"/>
      <c r="U846" s="62"/>
    </row>
    <row r="847" spans="3:21" ht="15.75" customHeight="1">
      <c r="C847" s="62"/>
      <c r="D847" s="62"/>
      <c r="E847" s="62"/>
      <c r="G847" s="62"/>
      <c r="H847" s="62"/>
      <c r="I847" s="62"/>
      <c r="L847" s="62"/>
      <c r="Q847" s="62"/>
      <c r="R847" s="62"/>
      <c r="T847" s="62"/>
      <c r="U847" s="62"/>
    </row>
    <row r="848" spans="3:21" ht="15.75" customHeight="1">
      <c r="C848" s="62"/>
      <c r="D848" s="62"/>
      <c r="E848" s="62"/>
      <c r="G848" s="62"/>
      <c r="H848" s="62"/>
      <c r="I848" s="62"/>
      <c r="L848" s="62"/>
      <c r="Q848" s="62"/>
      <c r="R848" s="62"/>
      <c r="T848" s="62"/>
      <c r="U848" s="62"/>
    </row>
    <row r="849" spans="3:21" ht="15.75" customHeight="1">
      <c r="C849" s="62"/>
      <c r="D849" s="62"/>
      <c r="E849" s="62"/>
      <c r="G849" s="62"/>
      <c r="H849" s="62"/>
      <c r="I849" s="62"/>
      <c r="L849" s="62"/>
      <c r="Q849" s="62"/>
      <c r="R849" s="62"/>
      <c r="T849" s="62"/>
      <c r="U849" s="62"/>
    </row>
    <row r="850" spans="3:21" ht="15.75" customHeight="1">
      <c r="C850" s="62"/>
      <c r="D850" s="62"/>
      <c r="E850" s="62"/>
      <c r="G850" s="62"/>
      <c r="H850" s="62"/>
      <c r="I850" s="62"/>
      <c r="L850" s="62"/>
      <c r="Q850" s="62"/>
      <c r="R850" s="62"/>
      <c r="T850" s="62"/>
      <c r="U850" s="62"/>
    </row>
    <row r="851" spans="3:21" ht="15.75" customHeight="1">
      <c r="C851" s="62"/>
      <c r="D851" s="62"/>
      <c r="E851" s="62"/>
      <c r="G851" s="62"/>
      <c r="H851" s="62"/>
      <c r="I851" s="62"/>
      <c r="L851" s="62"/>
      <c r="Q851" s="62"/>
      <c r="R851" s="62"/>
      <c r="T851" s="62"/>
      <c r="U851" s="62"/>
    </row>
    <row r="852" spans="3:21" ht="15.75" customHeight="1">
      <c r="C852" s="62"/>
      <c r="D852" s="62"/>
      <c r="E852" s="62"/>
      <c r="G852" s="62"/>
      <c r="H852" s="62"/>
      <c r="I852" s="62"/>
      <c r="L852" s="62"/>
      <c r="Q852" s="62"/>
      <c r="R852" s="62"/>
      <c r="T852" s="62"/>
      <c r="U852" s="62"/>
    </row>
    <row r="853" spans="3:21" ht="15.75" customHeight="1">
      <c r="C853" s="62"/>
      <c r="D853" s="62"/>
      <c r="E853" s="62"/>
      <c r="G853" s="62"/>
      <c r="H853" s="62"/>
      <c r="I853" s="62"/>
      <c r="L853" s="62"/>
      <c r="Q853" s="62"/>
      <c r="R853" s="62"/>
      <c r="T853" s="62"/>
      <c r="U853" s="62"/>
    </row>
    <row r="854" spans="3:21" ht="15.75" customHeight="1">
      <c r="C854" s="62"/>
      <c r="D854" s="62"/>
      <c r="E854" s="62"/>
      <c r="G854" s="62"/>
      <c r="H854" s="62"/>
      <c r="I854" s="62"/>
      <c r="L854" s="62"/>
      <c r="Q854" s="62"/>
      <c r="R854" s="62"/>
      <c r="T854" s="62"/>
      <c r="U854" s="62"/>
    </row>
    <row r="855" spans="3:21" ht="15.75" customHeight="1">
      <c r="C855" s="62"/>
      <c r="D855" s="62"/>
      <c r="E855" s="62"/>
      <c r="G855" s="62"/>
      <c r="H855" s="62"/>
      <c r="I855" s="62"/>
      <c r="L855" s="62"/>
      <c r="Q855" s="62"/>
      <c r="R855" s="62"/>
      <c r="T855" s="62"/>
      <c r="U855" s="62"/>
    </row>
    <row r="856" spans="3:21" ht="15.75" customHeight="1">
      <c r="C856" s="62"/>
      <c r="D856" s="62"/>
      <c r="E856" s="62"/>
      <c r="G856" s="62"/>
      <c r="H856" s="62"/>
      <c r="I856" s="62"/>
      <c r="L856" s="62"/>
      <c r="Q856" s="62"/>
      <c r="R856" s="62"/>
      <c r="T856" s="62"/>
      <c r="U856" s="62"/>
    </row>
    <row r="857" spans="3:21" ht="15.75" customHeight="1">
      <c r="C857" s="62"/>
      <c r="D857" s="62"/>
      <c r="E857" s="62"/>
      <c r="G857" s="62"/>
      <c r="H857" s="62"/>
      <c r="I857" s="62"/>
      <c r="L857" s="62"/>
      <c r="Q857" s="62"/>
      <c r="R857" s="62"/>
      <c r="T857" s="62"/>
      <c r="U857" s="62"/>
    </row>
    <row r="858" spans="3:21" ht="15.75" customHeight="1">
      <c r="C858" s="62"/>
      <c r="D858" s="62"/>
      <c r="E858" s="62"/>
      <c r="G858" s="62"/>
      <c r="H858" s="62"/>
      <c r="I858" s="62"/>
      <c r="L858" s="62"/>
      <c r="Q858" s="62"/>
      <c r="R858" s="62"/>
      <c r="T858" s="62"/>
      <c r="U858" s="62"/>
    </row>
    <row r="859" spans="3:21" ht="15.75" customHeight="1">
      <c r="C859" s="62"/>
      <c r="D859" s="62"/>
      <c r="E859" s="62"/>
      <c r="G859" s="62"/>
      <c r="H859" s="62"/>
      <c r="I859" s="62"/>
      <c r="L859" s="62"/>
      <c r="Q859" s="62"/>
      <c r="R859" s="62"/>
      <c r="T859" s="62"/>
      <c r="U859" s="62"/>
    </row>
    <row r="860" spans="3:21" ht="15.75" customHeight="1">
      <c r="C860" s="62"/>
      <c r="D860" s="62"/>
      <c r="E860" s="62"/>
      <c r="G860" s="62"/>
      <c r="H860" s="62"/>
      <c r="I860" s="62"/>
      <c r="L860" s="62"/>
      <c r="Q860" s="62"/>
      <c r="R860" s="62"/>
      <c r="T860" s="62"/>
      <c r="U860" s="62"/>
    </row>
    <row r="861" spans="3:21" ht="15.75" customHeight="1">
      <c r="C861" s="62"/>
      <c r="D861" s="62"/>
      <c r="E861" s="62"/>
      <c r="G861" s="62"/>
      <c r="H861" s="62"/>
      <c r="I861" s="62"/>
      <c r="L861" s="62"/>
      <c r="Q861" s="62"/>
      <c r="R861" s="62"/>
      <c r="T861" s="62"/>
      <c r="U861" s="62"/>
    </row>
    <row r="862" spans="3:21" ht="15.75" customHeight="1">
      <c r="C862" s="62"/>
      <c r="D862" s="62"/>
      <c r="E862" s="62"/>
      <c r="G862" s="62"/>
      <c r="H862" s="62"/>
      <c r="I862" s="62"/>
      <c r="L862" s="62"/>
      <c r="Q862" s="62"/>
      <c r="R862" s="62"/>
      <c r="T862" s="62"/>
      <c r="U862" s="62"/>
    </row>
    <row r="863" spans="3:21" ht="15.75" customHeight="1">
      <c r="C863" s="62"/>
      <c r="D863" s="62"/>
      <c r="E863" s="62"/>
      <c r="G863" s="62"/>
      <c r="H863" s="62"/>
      <c r="I863" s="62"/>
      <c r="L863" s="62"/>
      <c r="Q863" s="62"/>
      <c r="R863" s="62"/>
      <c r="T863" s="62"/>
      <c r="U863" s="62"/>
    </row>
    <row r="864" spans="3:21" ht="15.75" customHeight="1">
      <c r="C864" s="62"/>
      <c r="D864" s="62"/>
      <c r="E864" s="62"/>
      <c r="G864" s="62"/>
      <c r="H864" s="62"/>
      <c r="I864" s="62"/>
      <c r="L864" s="62"/>
      <c r="Q864" s="62"/>
      <c r="R864" s="62"/>
      <c r="T864" s="62"/>
      <c r="U864" s="62"/>
    </row>
    <row r="865" spans="3:21" ht="15.75" customHeight="1">
      <c r="C865" s="62"/>
      <c r="D865" s="62"/>
      <c r="E865" s="62"/>
      <c r="G865" s="62"/>
      <c r="H865" s="62"/>
      <c r="I865" s="62"/>
      <c r="L865" s="62"/>
      <c r="Q865" s="62"/>
      <c r="R865" s="62"/>
      <c r="T865" s="62"/>
      <c r="U865" s="62"/>
    </row>
    <row r="866" spans="3:21" ht="15.75" customHeight="1">
      <c r="C866" s="62"/>
      <c r="D866" s="62"/>
      <c r="E866" s="62"/>
      <c r="G866" s="62"/>
      <c r="H866" s="62"/>
      <c r="I866" s="62"/>
      <c r="L866" s="62"/>
      <c r="Q866" s="62"/>
      <c r="R866" s="62"/>
      <c r="T866" s="62"/>
      <c r="U866" s="62"/>
    </row>
    <row r="867" spans="3:21" ht="15.75" customHeight="1">
      <c r="C867" s="62"/>
      <c r="D867" s="62"/>
      <c r="E867" s="62"/>
      <c r="G867" s="62"/>
      <c r="H867" s="62"/>
      <c r="I867" s="62"/>
      <c r="L867" s="62"/>
      <c r="Q867" s="62"/>
      <c r="R867" s="62"/>
      <c r="T867" s="62"/>
      <c r="U867" s="62"/>
    </row>
    <row r="868" spans="3:21" ht="15.75" customHeight="1">
      <c r="C868" s="62"/>
      <c r="D868" s="62"/>
      <c r="E868" s="62"/>
      <c r="G868" s="62"/>
      <c r="H868" s="62"/>
      <c r="I868" s="62"/>
      <c r="L868" s="62"/>
      <c r="Q868" s="62"/>
      <c r="R868" s="62"/>
      <c r="T868" s="62"/>
      <c r="U868" s="62"/>
    </row>
    <row r="869" spans="3:21" ht="15.75" customHeight="1">
      <c r="C869" s="62"/>
      <c r="D869" s="62"/>
      <c r="E869" s="62"/>
      <c r="G869" s="62"/>
      <c r="H869" s="62"/>
      <c r="I869" s="62"/>
      <c r="L869" s="62"/>
      <c r="Q869" s="62"/>
      <c r="R869" s="62"/>
      <c r="T869" s="62"/>
      <c r="U869" s="62"/>
    </row>
    <row r="870" spans="3:21" ht="15.75" customHeight="1">
      <c r="C870" s="62"/>
      <c r="D870" s="62"/>
      <c r="E870" s="62"/>
      <c r="G870" s="62"/>
      <c r="H870" s="62"/>
      <c r="I870" s="62"/>
      <c r="L870" s="62"/>
      <c r="Q870" s="62"/>
      <c r="R870" s="62"/>
      <c r="T870" s="62"/>
      <c r="U870" s="62"/>
    </row>
    <row r="871" spans="3:21" ht="15.75" customHeight="1">
      <c r="C871" s="62"/>
      <c r="D871" s="62"/>
      <c r="E871" s="62"/>
      <c r="G871" s="62"/>
      <c r="H871" s="62"/>
      <c r="I871" s="62"/>
      <c r="L871" s="62"/>
      <c r="Q871" s="62"/>
      <c r="R871" s="62"/>
      <c r="T871" s="62"/>
      <c r="U871" s="62"/>
    </row>
    <row r="872" spans="3:21" ht="15.75" customHeight="1">
      <c r="C872" s="62"/>
      <c r="D872" s="62"/>
      <c r="E872" s="62"/>
      <c r="G872" s="62"/>
      <c r="H872" s="62"/>
      <c r="I872" s="62"/>
      <c r="L872" s="62"/>
      <c r="Q872" s="62"/>
      <c r="R872" s="62"/>
      <c r="T872" s="62"/>
      <c r="U872" s="62"/>
    </row>
    <row r="873" spans="3:21" ht="15.75" customHeight="1">
      <c r="C873" s="62"/>
      <c r="D873" s="62"/>
      <c r="E873" s="62"/>
      <c r="G873" s="62"/>
      <c r="H873" s="62"/>
      <c r="I873" s="62"/>
      <c r="L873" s="62"/>
      <c r="Q873" s="62"/>
      <c r="R873" s="62"/>
      <c r="T873" s="62"/>
      <c r="U873" s="62"/>
    </row>
    <row r="874" spans="3:21" ht="15.75" customHeight="1">
      <c r="C874" s="62"/>
      <c r="D874" s="62"/>
      <c r="E874" s="62"/>
      <c r="G874" s="62"/>
      <c r="H874" s="62"/>
      <c r="I874" s="62"/>
      <c r="L874" s="62"/>
      <c r="Q874" s="62"/>
      <c r="R874" s="62"/>
      <c r="T874" s="62"/>
      <c r="U874" s="62"/>
    </row>
    <row r="875" spans="3:21" ht="15.75" customHeight="1">
      <c r="C875" s="62"/>
      <c r="D875" s="62"/>
      <c r="E875" s="62"/>
      <c r="G875" s="62"/>
      <c r="H875" s="62"/>
      <c r="I875" s="62"/>
      <c r="L875" s="62"/>
      <c r="Q875" s="62"/>
      <c r="R875" s="62"/>
      <c r="T875" s="62"/>
      <c r="U875" s="62"/>
    </row>
    <row r="876" spans="3:21" ht="15.75" customHeight="1">
      <c r="C876" s="62"/>
      <c r="D876" s="62"/>
      <c r="E876" s="62"/>
      <c r="G876" s="62"/>
      <c r="H876" s="62"/>
      <c r="I876" s="62"/>
      <c r="L876" s="62"/>
      <c r="Q876" s="62"/>
      <c r="R876" s="62"/>
      <c r="T876" s="62"/>
      <c r="U876" s="62"/>
    </row>
    <row r="877" spans="3:21" ht="15.75" customHeight="1">
      <c r="C877" s="62"/>
      <c r="D877" s="62"/>
      <c r="E877" s="62"/>
      <c r="G877" s="62"/>
      <c r="H877" s="62"/>
      <c r="I877" s="62"/>
      <c r="L877" s="62"/>
      <c r="Q877" s="62"/>
      <c r="R877" s="62"/>
      <c r="T877" s="62"/>
      <c r="U877" s="62"/>
    </row>
    <row r="878" spans="3:21" ht="15.75" customHeight="1">
      <c r="C878" s="62"/>
      <c r="D878" s="62"/>
      <c r="E878" s="62"/>
      <c r="G878" s="62"/>
      <c r="H878" s="62"/>
      <c r="I878" s="62"/>
      <c r="L878" s="62"/>
      <c r="Q878" s="62"/>
      <c r="R878" s="62"/>
      <c r="T878" s="62"/>
      <c r="U878" s="62"/>
    </row>
    <row r="879" spans="3:21" ht="15.75" customHeight="1">
      <c r="C879" s="62"/>
      <c r="D879" s="62"/>
      <c r="E879" s="62"/>
      <c r="G879" s="62"/>
      <c r="H879" s="62"/>
      <c r="I879" s="62"/>
      <c r="L879" s="62"/>
      <c r="Q879" s="62"/>
      <c r="R879" s="62"/>
      <c r="T879" s="62"/>
      <c r="U879" s="62"/>
    </row>
    <row r="880" spans="3:21" ht="15.75" customHeight="1">
      <c r="C880" s="62"/>
      <c r="D880" s="62"/>
      <c r="E880" s="62"/>
      <c r="G880" s="62"/>
      <c r="H880" s="62"/>
      <c r="I880" s="62"/>
      <c r="L880" s="62"/>
      <c r="Q880" s="62"/>
      <c r="R880" s="62"/>
      <c r="T880" s="62"/>
      <c r="U880" s="62"/>
    </row>
    <row r="881" spans="3:21" ht="15.75" customHeight="1">
      <c r="C881" s="62"/>
      <c r="D881" s="62"/>
      <c r="E881" s="62"/>
      <c r="G881" s="62"/>
      <c r="H881" s="62"/>
      <c r="I881" s="62"/>
      <c r="L881" s="62"/>
      <c r="Q881" s="62"/>
      <c r="R881" s="62"/>
      <c r="T881" s="62"/>
      <c r="U881" s="62"/>
    </row>
    <row r="882" spans="3:21" ht="15.75" customHeight="1">
      <c r="C882" s="62"/>
      <c r="D882" s="62"/>
      <c r="E882" s="62"/>
      <c r="G882" s="62"/>
      <c r="H882" s="62"/>
      <c r="I882" s="62"/>
      <c r="L882" s="62"/>
      <c r="Q882" s="62"/>
      <c r="R882" s="62"/>
      <c r="T882" s="62"/>
      <c r="U882" s="62"/>
    </row>
    <row r="883" spans="3:21" ht="15.75" customHeight="1">
      <c r="C883" s="62"/>
      <c r="D883" s="62"/>
      <c r="E883" s="62"/>
      <c r="G883" s="62"/>
      <c r="H883" s="62"/>
      <c r="I883" s="62"/>
      <c r="L883" s="62"/>
      <c r="Q883" s="62"/>
      <c r="R883" s="62"/>
      <c r="T883" s="62"/>
      <c r="U883" s="62"/>
    </row>
    <row r="884" spans="3:21" ht="15.75" customHeight="1">
      <c r="C884" s="62"/>
      <c r="D884" s="62"/>
      <c r="E884" s="62"/>
      <c r="G884" s="62"/>
      <c r="H884" s="62"/>
      <c r="I884" s="62"/>
      <c r="L884" s="62"/>
      <c r="Q884" s="62"/>
      <c r="R884" s="62"/>
      <c r="T884" s="62"/>
      <c r="U884" s="62"/>
    </row>
    <row r="885" spans="3:21" ht="15.75" customHeight="1">
      <c r="C885" s="62"/>
      <c r="D885" s="62"/>
      <c r="E885" s="62"/>
      <c r="G885" s="62"/>
      <c r="H885" s="62"/>
      <c r="I885" s="62"/>
      <c r="L885" s="62"/>
      <c r="Q885" s="62"/>
      <c r="R885" s="62"/>
      <c r="T885" s="62"/>
      <c r="U885" s="62"/>
    </row>
    <row r="886" spans="3:21" ht="15.75" customHeight="1">
      <c r="C886" s="62"/>
      <c r="D886" s="62"/>
      <c r="E886" s="62"/>
      <c r="G886" s="62"/>
      <c r="H886" s="62"/>
      <c r="I886" s="62"/>
      <c r="L886" s="62"/>
      <c r="Q886" s="62"/>
      <c r="R886" s="62"/>
      <c r="T886" s="62"/>
      <c r="U886" s="62"/>
    </row>
    <row r="887" spans="3:21" ht="15.75" customHeight="1">
      <c r="C887" s="62"/>
      <c r="D887" s="62"/>
      <c r="E887" s="62"/>
      <c r="G887" s="62"/>
      <c r="H887" s="62"/>
      <c r="I887" s="62"/>
      <c r="L887" s="62"/>
      <c r="Q887" s="62"/>
      <c r="R887" s="62"/>
      <c r="T887" s="62"/>
      <c r="U887" s="62"/>
    </row>
    <row r="888" spans="3:21" ht="15.75" customHeight="1">
      <c r="C888" s="62"/>
      <c r="D888" s="62"/>
      <c r="E888" s="62"/>
      <c r="G888" s="62"/>
      <c r="H888" s="62"/>
      <c r="I888" s="62"/>
      <c r="L888" s="62"/>
      <c r="Q888" s="62"/>
      <c r="R888" s="62"/>
      <c r="T888" s="62"/>
      <c r="U888" s="62"/>
    </row>
    <row r="889" spans="3:21" ht="15.75" customHeight="1">
      <c r="C889" s="62"/>
      <c r="D889" s="62"/>
      <c r="E889" s="62"/>
      <c r="G889" s="62"/>
      <c r="H889" s="62"/>
      <c r="I889" s="62"/>
      <c r="L889" s="62"/>
      <c r="Q889" s="62"/>
      <c r="R889" s="62"/>
      <c r="T889" s="62"/>
      <c r="U889" s="62"/>
    </row>
    <row r="890" spans="3:21" ht="15.75" customHeight="1">
      <c r="C890" s="62"/>
      <c r="D890" s="62"/>
      <c r="E890" s="62"/>
      <c r="G890" s="62"/>
      <c r="H890" s="62"/>
      <c r="I890" s="62"/>
      <c r="L890" s="62"/>
      <c r="Q890" s="62"/>
      <c r="R890" s="62"/>
      <c r="T890" s="62"/>
      <c r="U890" s="62"/>
    </row>
    <row r="891" spans="3:21" ht="15.75" customHeight="1">
      <c r="C891" s="62"/>
      <c r="D891" s="62"/>
      <c r="E891" s="62"/>
      <c r="G891" s="62"/>
      <c r="H891" s="62"/>
      <c r="I891" s="62"/>
      <c r="L891" s="62"/>
      <c r="Q891" s="62"/>
      <c r="R891" s="62"/>
      <c r="T891" s="62"/>
      <c r="U891" s="62"/>
    </row>
    <row r="892" spans="3:21" ht="15.75" customHeight="1">
      <c r="C892" s="62"/>
      <c r="D892" s="62"/>
      <c r="E892" s="62"/>
      <c r="G892" s="62"/>
      <c r="H892" s="62"/>
      <c r="I892" s="62"/>
      <c r="L892" s="62"/>
      <c r="Q892" s="62"/>
      <c r="R892" s="62"/>
      <c r="T892" s="62"/>
      <c r="U892" s="62"/>
    </row>
    <row r="893" spans="3:21" ht="15.75" customHeight="1">
      <c r="C893" s="62"/>
      <c r="D893" s="62"/>
      <c r="E893" s="62"/>
      <c r="G893" s="62"/>
      <c r="H893" s="62"/>
      <c r="I893" s="62"/>
      <c r="L893" s="62"/>
      <c r="Q893" s="62"/>
      <c r="R893" s="62"/>
      <c r="T893" s="62"/>
      <c r="U893" s="62"/>
    </row>
    <row r="894" spans="3:21" ht="15.75" customHeight="1">
      <c r="C894" s="62"/>
      <c r="D894" s="62"/>
      <c r="E894" s="62"/>
      <c r="G894" s="62"/>
      <c r="H894" s="62"/>
      <c r="I894" s="62"/>
      <c r="L894" s="62"/>
      <c r="Q894" s="62"/>
      <c r="R894" s="62"/>
      <c r="T894" s="62"/>
      <c r="U894" s="62"/>
    </row>
    <row r="895" spans="3:21" ht="15.75" customHeight="1">
      <c r="C895" s="62"/>
      <c r="D895" s="62"/>
      <c r="E895" s="62"/>
      <c r="G895" s="62"/>
      <c r="H895" s="62"/>
      <c r="I895" s="62"/>
      <c r="L895" s="62"/>
      <c r="Q895" s="62"/>
      <c r="R895" s="62"/>
      <c r="T895" s="62"/>
      <c r="U895" s="62"/>
    </row>
    <row r="896" spans="3:21" ht="15.75" customHeight="1">
      <c r="C896" s="62"/>
      <c r="D896" s="62"/>
      <c r="E896" s="62"/>
      <c r="G896" s="62"/>
      <c r="H896" s="62"/>
      <c r="I896" s="62"/>
      <c r="L896" s="62"/>
      <c r="Q896" s="62"/>
      <c r="R896" s="62"/>
      <c r="T896" s="62"/>
      <c r="U896" s="62"/>
    </row>
    <row r="897" spans="3:21" ht="15.75" customHeight="1">
      <c r="C897" s="62"/>
      <c r="D897" s="62"/>
      <c r="E897" s="62"/>
      <c r="G897" s="62"/>
      <c r="H897" s="62"/>
      <c r="I897" s="62"/>
      <c r="L897" s="62"/>
      <c r="Q897" s="62"/>
      <c r="R897" s="62"/>
      <c r="T897" s="62"/>
      <c r="U897" s="62"/>
    </row>
    <row r="898" spans="3:21" ht="15.75" customHeight="1">
      <c r="C898" s="62"/>
      <c r="D898" s="62"/>
      <c r="E898" s="62"/>
      <c r="G898" s="62"/>
      <c r="H898" s="62"/>
      <c r="I898" s="62"/>
      <c r="L898" s="62"/>
      <c r="Q898" s="62"/>
      <c r="R898" s="62"/>
      <c r="T898" s="62"/>
      <c r="U898" s="62"/>
    </row>
    <row r="899" spans="3:21" ht="15.75" customHeight="1">
      <c r="C899" s="62"/>
      <c r="D899" s="62"/>
      <c r="E899" s="62"/>
      <c r="G899" s="62"/>
      <c r="H899" s="62"/>
      <c r="I899" s="62"/>
      <c r="L899" s="62"/>
      <c r="Q899" s="62"/>
      <c r="R899" s="62"/>
      <c r="T899" s="62"/>
      <c r="U899" s="62"/>
    </row>
    <row r="900" spans="3:21" ht="15.75" customHeight="1">
      <c r="C900" s="62"/>
      <c r="D900" s="62"/>
      <c r="E900" s="62"/>
      <c r="G900" s="62"/>
      <c r="H900" s="62"/>
      <c r="I900" s="62"/>
      <c r="L900" s="62"/>
      <c r="Q900" s="62"/>
      <c r="R900" s="62"/>
      <c r="T900" s="62"/>
      <c r="U900" s="62"/>
    </row>
    <row r="901" spans="3:21" ht="15.75" customHeight="1">
      <c r="C901" s="62"/>
      <c r="D901" s="62"/>
      <c r="E901" s="62"/>
      <c r="G901" s="62"/>
      <c r="H901" s="62"/>
      <c r="I901" s="62"/>
      <c r="L901" s="62"/>
      <c r="Q901" s="62"/>
      <c r="R901" s="62"/>
      <c r="T901" s="62"/>
      <c r="U901" s="62"/>
    </row>
    <row r="902" spans="3:21" ht="15.75" customHeight="1">
      <c r="C902" s="62"/>
      <c r="D902" s="62"/>
      <c r="E902" s="62"/>
      <c r="G902" s="62"/>
      <c r="H902" s="62"/>
      <c r="I902" s="62"/>
      <c r="L902" s="62"/>
      <c r="Q902" s="62"/>
      <c r="R902" s="62"/>
      <c r="T902" s="62"/>
      <c r="U902" s="62"/>
    </row>
    <row r="903" spans="3:21" ht="15.75" customHeight="1">
      <c r="C903" s="62"/>
      <c r="D903" s="62"/>
      <c r="E903" s="62"/>
      <c r="G903" s="62"/>
      <c r="H903" s="62"/>
      <c r="I903" s="62"/>
      <c r="L903" s="62"/>
      <c r="Q903" s="62"/>
      <c r="R903" s="62"/>
      <c r="T903" s="62"/>
      <c r="U903" s="62"/>
    </row>
    <row r="904" spans="3:21" ht="15.75" customHeight="1">
      <c r="C904" s="62"/>
      <c r="D904" s="62"/>
      <c r="E904" s="62"/>
      <c r="G904" s="62"/>
      <c r="H904" s="62"/>
      <c r="I904" s="62"/>
      <c r="L904" s="62"/>
      <c r="Q904" s="62"/>
      <c r="R904" s="62"/>
      <c r="T904" s="62"/>
      <c r="U904" s="62"/>
    </row>
    <row r="905" spans="3:21" ht="15.75" customHeight="1">
      <c r="C905" s="62"/>
      <c r="D905" s="62"/>
      <c r="E905" s="62"/>
      <c r="G905" s="62"/>
      <c r="H905" s="62"/>
      <c r="I905" s="62"/>
      <c r="L905" s="62"/>
      <c r="Q905" s="62"/>
      <c r="R905" s="62"/>
      <c r="T905" s="62"/>
      <c r="U905" s="62"/>
    </row>
    <row r="906" spans="3:21" ht="15.75" customHeight="1">
      <c r="C906" s="62"/>
      <c r="D906" s="62"/>
      <c r="E906" s="62"/>
      <c r="G906" s="62"/>
      <c r="H906" s="62"/>
      <c r="I906" s="62"/>
      <c r="L906" s="62"/>
      <c r="Q906" s="62"/>
      <c r="R906" s="62"/>
      <c r="T906" s="62"/>
      <c r="U906" s="62"/>
    </row>
    <row r="907" spans="3:21" ht="15.75" customHeight="1">
      <c r="C907" s="62"/>
      <c r="D907" s="62"/>
      <c r="E907" s="62"/>
      <c r="G907" s="62"/>
      <c r="H907" s="62"/>
      <c r="I907" s="62"/>
      <c r="L907" s="62"/>
      <c r="Q907" s="62"/>
      <c r="R907" s="62"/>
      <c r="T907" s="62"/>
      <c r="U907" s="62"/>
    </row>
    <row r="908" spans="3:21" ht="15.75" customHeight="1">
      <c r="C908" s="62"/>
      <c r="D908" s="62"/>
      <c r="E908" s="62"/>
      <c r="G908" s="62"/>
      <c r="H908" s="62"/>
      <c r="I908" s="62"/>
      <c r="L908" s="62"/>
      <c r="Q908" s="62"/>
      <c r="R908" s="62"/>
      <c r="T908" s="62"/>
      <c r="U908" s="62"/>
    </row>
    <row r="909" spans="3:21" ht="15.75" customHeight="1">
      <c r="C909" s="62"/>
      <c r="D909" s="62"/>
      <c r="E909" s="62"/>
      <c r="G909" s="62"/>
      <c r="H909" s="62"/>
      <c r="I909" s="62"/>
      <c r="L909" s="62"/>
      <c r="Q909" s="62"/>
      <c r="R909" s="62"/>
      <c r="T909" s="62"/>
      <c r="U909" s="62"/>
    </row>
    <row r="910" spans="3:21" ht="15.75" customHeight="1">
      <c r="C910" s="62"/>
      <c r="D910" s="62"/>
      <c r="E910" s="62"/>
      <c r="G910" s="62"/>
      <c r="H910" s="62"/>
      <c r="I910" s="62"/>
      <c r="L910" s="62"/>
      <c r="Q910" s="62"/>
      <c r="R910" s="62"/>
      <c r="T910" s="62"/>
      <c r="U910" s="62"/>
    </row>
    <row r="911" spans="3:21" ht="15.75" customHeight="1">
      <c r="C911" s="62"/>
      <c r="D911" s="62"/>
      <c r="E911" s="62"/>
      <c r="G911" s="62"/>
      <c r="H911" s="62"/>
      <c r="I911" s="62"/>
      <c r="L911" s="62"/>
      <c r="Q911" s="62"/>
      <c r="R911" s="62"/>
      <c r="T911" s="62"/>
      <c r="U911" s="62"/>
    </row>
    <row r="912" spans="3:21" ht="15.75" customHeight="1">
      <c r="C912" s="62"/>
      <c r="D912" s="62"/>
      <c r="E912" s="62"/>
      <c r="G912" s="62"/>
      <c r="H912" s="62"/>
      <c r="I912" s="62"/>
      <c r="L912" s="62"/>
      <c r="Q912" s="62"/>
      <c r="R912" s="62"/>
      <c r="T912" s="62"/>
      <c r="U912" s="62"/>
    </row>
    <row r="913" spans="3:21" ht="15.75" customHeight="1">
      <c r="C913" s="62"/>
      <c r="D913" s="62"/>
      <c r="E913" s="62"/>
      <c r="G913" s="62"/>
      <c r="H913" s="62"/>
      <c r="I913" s="62"/>
      <c r="L913" s="62"/>
      <c r="Q913" s="62"/>
      <c r="R913" s="62"/>
      <c r="T913" s="62"/>
      <c r="U913" s="62"/>
    </row>
    <row r="914" spans="3:21" ht="15.75" customHeight="1">
      <c r="C914" s="62"/>
      <c r="D914" s="62"/>
      <c r="E914" s="62"/>
      <c r="G914" s="62"/>
      <c r="H914" s="62"/>
      <c r="I914" s="62"/>
      <c r="L914" s="62"/>
      <c r="Q914" s="62"/>
      <c r="R914" s="62"/>
      <c r="T914" s="62"/>
      <c r="U914" s="62"/>
    </row>
    <row r="915" spans="3:21" ht="15.75" customHeight="1">
      <c r="C915" s="62"/>
      <c r="D915" s="62"/>
      <c r="E915" s="62"/>
      <c r="G915" s="62"/>
      <c r="H915" s="62"/>
      <c r="I915" s="62"/>
      <c r="L915" s="62"/>
      <c r="Q915" s="62"/>
      <c r="R915" s="62"/>
      <c r="T915" s="62"/>
      <c r="U915" s="62"/>
    </row>
    <row r="916" spans="3:21" ht="15.75" customHeight="1">
      <c r="C916" s="62"/>
      <c r="D916" s="62"/>
      <c r="E916" s="62"/>
      <c r="G916" s="62"/>
      <c r="H916" s="62"/>
      <c r="I916" s="62"/>
      <c r="L916" s="62"/>
      <c r="Q916" s="62"/>
      <c r="R916" s="62"/>
      <c r="T916" s="62"/>
      <c r="U916" s="62"/>
    </row>
    <row r="917" spans="3:21" ht="15.75" customHeight="1">
      <c r="C917" s="62"/>
      <c r="D917" s="62"/>
      <c r="E917" s="62"/>
      <c r="G917" s="62"/>
      <c r="H917" s="62"/>
      <c r="I917" s="62"/>
      <c r="L917" s="62"/>
      <c r="Q917" s="62"/>
      <c r="R917" s="62"/>
      <c r="T917" s="62"/>
      <c r="U917" s="62"/>
    </row>
    <row r="918" spans="3:21" ht="15.75" customHeight="1">
      <c r="C918" s="62"/>
      <c r="D918" s="62"/>
      <c r="E918" s="62"/>
      <c r="G918" s="62"/>
      <c r="H918" s="62"/>
      <c r="I918" s="62"/>
      <c r="L918" s="62"/>
      <c r="Q918" s="62"/>
      <c r="R918" s="62"/>
      <c r="T918" s="62"/>
      <c r="U918" s="62"/>
    </row>
    <row r="919" spans="3:21" ht="15.75" customHeight="1">
      <c r="C919" s="62"/>
      <c r="D919" s="62"/>
      <c r="E919" s="62"/>
      <c r="G919" s="62"/>
      <c r="H919" s="62"/>
      <c r="I919" s="62"/>
      <c r="L919" s="62"/>
      <c r="Q919" s="62"/>
      <c r="R919" s="62"/>
      <c r="T919" s="62"/>
      <c r="U919" s="62"/>
    </row>
    <row r="920" spans="3:21" ht="15.75" customHeight="1">
      <c r="C920" s="62"/>
      <c r="D920" s="62"/>
      <c r="E920" s="62"/>
      <c r="G920" s="62"/>
      <c r="H920" s="62"/>
      <c r="I920" s="62"/>
      <c r="L920" s="62"/>
      <c r="Q920" s="62"/>
      <c r="R920" s="62"/>
      <c r="T920" s="62"/>
      <c r="U920" s="62"/>
    </row>
    <row r="921" spans="3:21" ht="15.75" customHeight="1">
      <c r="C921" s="62"/>
      <c r="D921" s="62"/>
      <c r="E921" s="62"/>
      <c r="G921" s="62"/>
      <c r="H921" s="62"/>
      <c r="I921" s="62"/>
      <c r="L921" s="62"/>
      <c r="Q921" s="62"/>
      <c r="R921" s="62"/>
      <c r="T921" s="62"/>
      <c r="U921" s="62"/>
    </row>
    <row r="922" spans="3:21" ht="15.75" customHeight="1">
      <c r="C922" s="62"/>
      <c r="D922" s="62"/>
      <c r="E922" s="62"/>
      <c r="G922" s="62"/>
      <c r="H922" s="62"/>
      <c r="I922" s="62"/>
      <c r="L922" s="62"/>
      <c r="Q922" s="62"/>
      <c r="R922" s="62"/>
      <c r="T922" s="62"/>
      <c r="U922" s="62"/>
    </row>
    <row r="923" spans="3:21" ht="15.75" customHeight="1">
      <c r="C923" s="62"/>
      <c r="D923" s="62"/>
      <c r="E923" s="62"/>
      <c r="G923" s="62"/>
      <c r="H923" s="62"/>
      <c r="I923" s="62"/>
      <c r="L923" s="62"/>
      <c r="Q923" s="62"/>
      <c r="R923" s="62"/>
      <c r="T923" s="62"/>
      <c r="U923" s="62"/>
    </row>
    <row r="924" spans="3:21" ht="15.75" customHeight="1">
      <c r="C924" s="62"/>
      <c r="D924" s="62"/>
      <c r="E924" s="62"/>
      <c r="G924" s="62"/>
      <c r="H924" s="62"/>
      <c r="I924" s="62"/>
      <c r="L924" s="62"/>
      <c r="Q924" s="62"/>
      <c r="R924" s="62"/>
      <c r="T924" s="62"/>
      <c r="U924" s="62"/>
    </row>
    <row r="925" spans="3:21" ht="15.75" customHeight="1">
      <c r="C925" s="62"/>
      <c r="D925" s="62"/>
      <c r="E925" s="62"/>
      <c r="G925" s="62"/>
      <c r="H925" s="62"/>
      <c r="I925" s="62"/>
      <c r="L925" s="62"/>
      <c r="Q925" s="62"/>
      <c r="R925" s="62"/>
      <c r="T925" s="62"/>
      <c r="U925" s="62"/>
    </row>
    <row r="926" spans="3:21" ht="15.75" customHeight="1">
      <c r="C926" s="62"/>
      <c r="D926" s="62"/>
      <c r="E926" s="62"/>
      <c r="G926" s="62"/>
      <c r="H926" s="62"/>
      <c r="I926" s="62"/>
      <c r="L926" s="62"/>
      <c r="Q926" s="62"/>
      <c r="R926" s="62"/>
      <c r="T926" s="62"/>
      <c r="U926" s="62"/>
    </row>
    <row r="927" spans="3:21" ht="15.75" customHeight="1">
      <c r="C927" s="62"/>
      <c r="D927" s="62"/>
      <c r="E927" s="62"/>
      <c r="G927" s="62"/>
      <c r="H927" s="62"/>
      <c r="I927" s="62"/>
      <c r="L927" s="62"/>
      <c r="Q927" s="62"/>
      <c r="R927" s="62"/>
      <c r="T927" s="62"/>
      <c r="U927" s="62"/>
    </row>
    <row r="928" spans="3:21" ht="15.75" customHeight="1">
      <c r="C928" s="62"/>
      <c r="D928" s="62"/>
      <c r="E928" s="62"/>
      <c r="G928" s="62"/>
      <c r="H928" s="62"/>
      <c r="I928" s="62"/>
      <c r="L928" s="62"/>
      <c r="Q928" s="62"/>
      <c r="R928" s="62"/>
      <c r="T928" s="62"/>
      <c r="U928" s="62"/>
    </row>
    <row r="929" spans="3:21" ht="15.75" customHeight="1">
      <c r="C929" s="62"/>
      <c r="D929" s="62"/>
      <c r="E929" s="62"/>
      <c r="G929" s="62"/>
      <c r="H929" s="62"/>
      <c r="I929" s="62"/>
      <c r="L929" s="62"/>
      <c r="Q929" s="62"/>
      <c r="R929" s="62"/>
      <c r="T929" s="62"/>
      <c r="U929" s="62"/>
    </row>
    <row r="930" spans="3:21" ht="15.75" customHeight="1">
      <c r="C930" s="62"/>
      <c r="D930" s="62"/>
      <c r="E930" s="62"/>
      <c r="G930" s="62"/>
      <c r="H930" s="62"/>
      <c r="I930" s="62"/>
      <c r="L930" s="62"/>
      <c r="Q930" s="62"/>
      <c r="R930" s="62"/>
      <c r="T930" s="62"/>
      <c r="U930" s="62"/>
    </row>
    <row r="931" spans="3:21" ht="15.75" customHeight="1">
      <c r="C931" s="62"/>
      <c r="D931" s="62"/>
      <c r="E931" s="62"/>
      <c r="G931" s="62"/>
      <c r="H931" s="62"/>
      <c r="I931" s="62"/>
      <c r="L931" s="62"/>
      <c r="Q931" s="62"/>
      <c r="R931" s="62"/>
      <c r="T931" s="62"/>
      <c r="U931" s="62"/>
    </row>
    <row r="932" spans="3:21" ht="15.75" customHeight="1">
      <c r="C932" s="62"/>
      <c r="D932" s="62"/>
      <c r="E932" s="62"/>
      <c r="G932" s="62"/>
      <c r="H932" s="62"/>
      <c r="I932" s="62"/>
      <c r="L932" s="62"/>
      <c r="Q932" s="62"/>
      <c r="R932" s="62"/>
      <c r="T932" s="62"/>
      <c r="U932" s="62"/>
    </row>
    <row r="933" spans="3:21" ht="15.75" customHeight="1">
      <c r="C933" s="62"/>
      <c r="D933" s="62"/>
      <c r="E933" s="62"/>
      <c r="G933" s="62"/>
      <c r="H933" s="62"/>
      <c r="I933" s="62"/>
      <c r="L933" s="62"/>
      <c r="Q933" s="62"/>
      <c r="R933" s="62"/>
      <c r="T933" s="62"/>
      <c r="U933" s="62"/>
    </row>
    <row r="934" spans="3:21" ht="15.75" customHeight="1">
      <c r="C934" s="62"/>
      <c r="D934" s="62"/>
      <c r="E934" s="62"/>
      <c r="G934" s="62"/>
      <c r="H934" s="62"/>
      <c r="I934" s="62"/>
      <c r="L934" s="62"/>
      <c r="Q934" s="62"/>
      <c r="R934" s="62"/>
      <c r="T934" s="62"/>
      <c r="U934" s="62"/>
    </row>
    <row r="935" spans="3:21" ht="15.75" customHeight="1">
      <c r="C935" s="62"/>
      <c r="D935" s="62"/>
      <c r="E935" s="62"/>
      <c r="G935" s="62"/>
      <c r="H935" s="62"/>
      <c r="I935" s="62"/>
      <c r="L935" s="62"/>
      <c r="Q935" s="62"/>
      <c r="R935" s="62"/>
      <c r="T935" s="62"/>
      <c r="U935" s="62"/>
    </row>
    <row r="936" spans="3:21" ht="15.75" customHeight="1">
      <c r="C936" s="62"/>
      <c r="D936" s="62"/>
      <c r="E936" s="62"/>
      <c r="G936" s="62"/>
      <c r="H936" s="62"/>
      <c r="I936" s="62"/>
      <c r="L936" s="62"/>
      <c r="Q936" s="62"/>
      <c r="R936" s="62"/>
      <c r="T936" s="62"/>
      <c r="U936" s="62"/>
    </row>
    <row r="937" spans="3:21" ht="15.75" customHeight="1">
      <c r="C937" s="62"/>
      <c r="D937" s="62"/>
      <c r="E937" s="62"/>
      <c r="G937" s="62"/>
      <c r="H937" s="62"/>
      <c r="I937" s="62"/>
      <c r="L937" s="62"/>
      <c r="Q937" s="62"/>
      <c r="R937" s="62"/>
      <c r="T937" s="62"/>
      <c r="U937" s="62"/>
    </row>
    <row r="938" spans="3:21" ht="15.75" customHeight="1">
      <c r="C938" s="62"/>
      <c r="D938" s="62"/>
      <c r="E938" s="62"/>
      <c r="G938" s="62"/>
      <c r="H938" s="62"/>
      <c r="I938" s="62"/>
      <c r="L938" s="62"/>
      <c r="Q938" s="62"/>
      <c r="R938" s="62"/>
      <c r="T938" s="62"/>
      <c r="U938" s="62"/>
    </row>
    <row r="939" spans="3:21" ht="15.75" customHeight="1">
      <c r="C939" s="62"/>
      <c r="D939" s="62"/>
      <c r="E939" s="62"/>
      <c r="G939" s="62"/>
      <c r="H939" s="62"/>
      <c r="I939" s="62"/>
      <c r="L939" s="62"/>
      <c r="Q939" s="62"/>
      <c r="R939" s="62"/>
      <c r="T939" s="62"/>
      <c r="U939" s="62"/>
    </row>
    <row r="940" spans="3:21" ht="15.75" customHeight="1">
      <c r="C940" s="62"/>
      <c r="D940" s="62"/>
      <c r="E940" s="62"/>
      <c r="G940" s="62"/>
      <c r="H940" s="62"/>
      <c r="I940" s="62"/>
      <c r="L940" s="62"/>
      <c r="Q940" s="62"/>
      <c r="R940" s="62"/>
      <c r="T940" s="62"/>
      <c r="U940" s="62"/>
    </row>
    <row r="941" spans="3:21" ht="15.75" customHeight="1">
      <c r="C941" s="62"/>
      <c r="D941" s="62"/>
      <c r="E941" s="62"/>
      <c r="G941" s="62"/>
      <c r="H941" s="62"/>
      <c r="I941" s="62"/>
      <c r="L941" s="62"/>
      <c r="Q941" s="62"/>
      <c r="R941" s="62"/>
      <c r="T941" s="62"/>
      <c r="U941" s="62"/>
    </row>
    <row r="942" spans="3:21" ht="15.75" customHeight="1">
      <c r="C942" s="62"/>
      <c r="D942" s="62"/>
      <c r="E942" s="62"/>
      <c r="G942" s="62"/>
      <c r="H942" s="62"/>
      <c r="I942" s="62"/>
      <c r="L942" s="62"/>
      <c r="Q942" s="62"/>
      <c r="R942" s="62"/>
      <c r="T942" s="62"/>
      <c r="U942" s="62"/>
    </row>
    <row r="943" spans="3:21" ht="15.75" customHeight="1">
      <c r="C943" s="62"/>
      <c r="D943" s="62"/>
      <c r="E943" s="62"/>
      <c r="G943" s="62"/>
      <c r="H943" s="62"/>
      <c r="I943" s="62"/>
      <c r="L943" s="62"/>
      <c r="Q943" s="62"/>
      <c r="R943" s="62"/>
      <c r="T943" s="62"/>
      <c r="U943" s="62"/>
    </row>
    <row r="944" spans="3:21" ht="15.75" customHeight="1">
      <c r="C944" s="62"/>
      <c r="D944" s="62"/>
      <c r="E944" s="62"/>
      <c r="G944" s="62"/>
      <c r="H944" s="62"/>
      <c r="I944" s="62"/>
      <c r="L944" s="62"/>
      <c r="Q944" s="62"/>
      <c r="R944" s="62"/>
      <c r="T944" s="62"/>
      <c r="U944" s="62"/>
    </row>
    <row r="945" spans="3:21" ht="15.75" customHeight="1">
      <c r="C945" s="62"/>
      <c r="D945" s="62"/>
      <c r="E945" s="62"/>
      <c r="G945" s="62"/>
      <c r="H945" s="62"/>
      <c r="I945" s="62"/>
      <c r="L945" s="62"/>
      <c r="Q945" s="62"/>
      <c r="R945" s="62"/>
      <c r="T945" s="62"/>
      <c r="U945" s="62"/>
    </row>
    <row r="946" spans="3:21" ht="15.75" customHeight="1">
      <c r="C946" s="62"/>
      <c r="D946" s="62"/>
      <c r="E946" s="62"/>
      <c r="G946" s="62"/>
      <c r="H946" s="62"/>
      <c r="I946" s="62"/>
      <c r="L946" s="62"/>
      <c r="Q946" s="62"/>
      <c r="R946" s="62"/>
      <c r="T946" s="62"/>
      <c r="U946" s="62"/>
    </row>
    <row r="947" spans="3:21" ht="15.75" customHeight="1">
      <c r="C947" s="62"/>
      <c r="D947" s="62"/>
      <c r="E947" s="62"/>
      <c r="G947" s="62"/>
      <c r="H947" s="62"/>
      <c r="I947" s="62"/>
      <c r="L947" s="62"/>
      <c r="Q947" s="62"/>
      <c r="R947" s="62"/>
      <c r="T947" s="62"/>
      <c r="U947" s="62"/>
    </row>
    <row r="948" spans="3:21" ht="15.75" customHeight="1">
      <c r="C948" s="62"/>
      <c r="D948" s="62"/>
      <c r="E948" s="62"/>
      <c r="G948" s="62"/>
      <c r="H948" s="62"/>
      <c r="I948" s="62"/>
      <c r="L948" s="62"/>
      <c r="Q948" s="62"/>
      <c r="R948" s="62"/>
      <c r="T948" s="62"/>
      <c r="U948" s="62"/>
    </row>
    <row r="949" spans="3:21" ht="15.75" customHeight="1">
      <c r="C949" s="62"/>
      <c r="D949" s="62"/>
      <c r="E949" s="62"/>
      <c r="G949" s="62"/>
      <c r="H949" s="62"/>
      <c r="I949" s="62"/>
      <c r="L949" s="62"/>
      <c r="Q949" s="62"/>
      <c r="R949" s="62"/>
      <c r="T949" s="62"/>
      <c r="U949" s="62"/>
    </row>
    <row r="950" spans="3:21" ht="15.75" customHeight="1">
      <c r="C950" s="62"/>
      <c r="D950" s="62"/>
      <c r="E950" s="62"/>
      <c r="G950" s="62"/>
      <c r="H950" s="62"/>
      <c r="I950" s="62"/>
      <c r="L950" s="62"/>
      <c r="Q950" s="62"/>
      <c r="R950" s="62"/>
      <c r="T950" s="62"/>
      <c r="U950" s="62"/>
    </row>
    <row r="951" spans="3:21" ht="15.75" customHeight="1">
      <c r="C951" s="62"/>
      <c r="D951" s="62"/>
      <c r="E951" s="62"/>
      <c r="G951" s="62"/>
      <c r="H951" s="62"/>
      <c r="I951" s="62"/>
      <c r="L951" s="62"/>
      <c r="Q951" s="62"/>
      <c r="R951" s="62"/>
      <c r="T951" s="62"/>
      <c r="U951" s="62"/>
    </row>
    <row r="952" spans="3:21" ht="15.75" customHeight="1">
      <c r="C952" s="62"/>
      <c r="D952" s="62"/>
      <c r="E952" s="62"/>
      <c r="G952" s="62"/>
      <c r="H952" s="62"/>
      <c r="I952" s="62"/>
      <c r="L952" s="62"/>
      <c r="Q952" s="62"/>
      <c r="R952" s="62"/>
      <c r="T952" s="62"/>
      <c r="U952" s="62"/>
    </row>
    <row r="953" spans="3:21" ht="15.75" customHeight="1">
      <c r="C953" s="62"/>
      <c r="D953" s="62"/>
      <c r="E953" s="62"/>
      <c r="G953" s="62"/>
      <c r="H953" s="62"/>
      <c r="I953" s="62"/>
      <c r="L953" s="62"/>
      <c r="Q953" s="62"/>
      <c r="R953" s="62"/>
      <c r="T953" s="62"/>
      <c r="U953" s="62"/>
    </row>
    <row r="954" spans="3:21" ht="15.75" customHeight="1">
      <c r="C954" s="62"/>
      <c r="D954" s="62"/>
      <c r="E954" s="62"/>
      <c r="G954" s="62"/>
      <c r="H954" s="62"/>
      <c r="I954" s="62"/>
      <c r="L954" s="62"/>
      <c r="Q954" s="62"/>
      <c r="R954" s="62"/>
      <c r="T954" s="62"/>
      <c r="U954" s="62"/>
    </row>
    <row r="955" spans="3:21" ht="15.75" customHeight="1">
      <c r="C955" s="62"/>
      <c r="D955" s="62"/>
      <c r="E955" s="62"/>
      <c r="G955" s="62"/>
      <c r="H955" s="62"/>
      <c r="I955" s="62"/>
      <c r="L955" s="62"/>
      <c r="Q955" s="62"/>
      <c r="R955" s="62"/>
      <c r="T955" s="62"/>
      <c r="U955" s="62"/>
    </row>
    <row r="956" spans="3:21" ht="15.75" customHeight="1">
      <c r="C956" s="62"/>
      <c r="D956" s="62"/>
      <c r="E956" s="62"/>
      <c r="G956" s="62"/>
      <c r="H956" s="62"/>
      <c r="I956" s="62"/>
      <c r="L956" s="62"/>
      <c r="Q956" s="62"/>
      <c r="R956" s="62"/>
      <c r="T956" s="62"/>
      <c r="U956" s="62"/>
    </row>
    <row r="957" spans="3:21" ht="15.75" customHeight="1">
      <c r="C957" s="62"/>
      <c r="D957" s="62"/>
      <c r="E957" s="62"/>
      <c r="G957" s="62"/>
      <c r="H957" s="62"/>
      <c r="I957" s="62"/>
      <c r="L957" s="62"/>
      <c r="Q957" s="62"/>
      <c r="R957" s="62"/>
      <c r="T957" s="62"/>
      <c r="U957" s="62"/>
    </row>
    <row r="958" spans="3:21" ht="15.75" customHeight="1">
      <c r="C958" s="62"/>
      <c r="D958" s="62"/>
      <c r="E958" s="62"/>
      <c r="G958" s="62"/>
      <c r="H958" s="62"/>
      <c r="I958" s="62"/>
      <c r="L958" s="62"/>
      <c r="Q958" s="62"/>
      <c r="R958" s="62"/>
      <c r="T958" s="62"/>
      <c r="U958" s="62"/>
    </row>
    <row r="959" spans="3:21" ht="15.75" customHeight="1">
      <c r="C959" s="62"/>
      <c r="D959" s="62"/>
      <c r="E959" s="62"/>
      <c r="G959" s="62"/>
      <c r="H959" s="62"/>
      <c r="I959" s="62"/>
      <c r="L959" s="62"/>
      <c r="Q959" s="62"/>
      <c r="R959" s="62"/>
      <c r="T959" s="62"/>
      <c r="U959" s="62"/>
    </row>
    <row r="960" spans="3:21" ht="15.75" customHeight="1">
      <c r="C960" s="62"/>
      <c r="D960" s="62"/>
      <c r="E960" s="62"/>
      <c r="G960" s="62"/>
      <c r="H960" s="62"/>
      <c r="I960" s="62"/>
      <c r="L960" s="62"/>
      <c r="Q960" s="62"/>
      <c r="R960" s="62"/>
      <c r="T960" s="62"/>
      <c r="U960" s="62"/>
    </row>
    <row r="961" spans="3:21" ht="15.75" customHeight="1">
      <c r="C961" s="62"/>
      <c r="D961" s="62"/>
      <c r="E961" s="62"/>
      <c r="G961" s="62"/>
      <c r="H961" s="62"/>
      <c r="I961" s="62"/>
      <c r="L961" s="62"/>
      <c r="Q961" s="62"/>
      <c r="R961" s="62"/>
      <c r="T961" s="62"/>
      <c r="U961" s="62"/>
    </row>
    <row r="962" spans="3:21" ht="15.75" customHeight="1">
      <c r="C962" s="62"/>
      <c r="D962" s="62"/>
      <c r="E962" s="62"/>
      <c r="G962" s="62"/>
      <c r="H962" s="62"/>
      <c r="I962" s="62"/>
      <c r="L962" s="62"/>
      <c r="Q962" s="62"/>
      <c r="R962" s="62"/>
      <c r="T962" s="62"/>
      <c r="U962" s="62"/>
    </row>
    <row r="963" spans="3:21" ht="15.75" customHeight="1">
      <c r="C963" s="62"/>
      <c r="D963" s="62"/>
      <c r="E963" s="62"/>
      <c r="G963" s="62"/>
      <c r="H963" s="62"/>
      <c r="I963" s="62"/>
      <c r="L963" s="62"/>
      <c r="Q963" s="62"/>
      <c r="R963" s="62"/>
      <c r="T963" s="62"/>
      <c r="U963" s="62"/>
    </row>
    <row r="964" spans="3:21" ht="15.75" customHeight="1">
      <c r="C964" s="62"/>
      <c r="D964" s="62"/>
      <c r="E964" s="62"/>
      <c r="G964" s="62"/>
      <c r="H964" s="62"/>
      <c r="I964" s="62"/>
      <c r="L964" s="62"/>
      <c r="Q964" s="62"/>
      <c r="R964" s="62"/>
      <c r="T964" s="62"/>
      <c r="U964" s="62"/>
    </row>
    <row r="965" spans="3:21" ht="15.75" customHeight="1">
      <c r="C965" s="62"/>
      <c r="D965" s="62"/>
      <c r="E965" s="62"/>
      <c r="G965" s="62"/>
      <c r="H965" s="62"/>
      <c r="I965" s="62"/>
      <c r="L965" s="62"/>
      <c r="Q965" s="62"/>
      <c r="R965" s="62"/>
      <c r="T965" s="62"/>
      <c r="U965" s="62"/>
    </row>
    <row r="966" spans="3:21" ht="15.75" customHeight="1">
      <c r="C966" s="62"/>
      <c r="D966" s="62"/>
      <c r="E966" s="62"/>
      <c r="G966" s="62"/>
      <c r="H966" s="62"/>
      <c r="I966" s="62"/>
      <c r="L966" s="62"/>
      <c r="Q966" s="62"/>
      <c r="R966" s="62"/>
      <c r="T966" s="62"/>
      <c r="U966" s="62"/>
    </row>
    <row r="967" spans="3:21" ht="15.75" customHeight="1">
      <c r="C967" s="62"/>
      <c r="D967" s="62"/>
      <c r="E967" s="62"/>
      <c r="G967" s="62"/>
      <c r="H967" s="62"/>
      <c r="I967" s="62"/>
      <c r="L967" s="62"/>
      <c r="Q967" s="62"/>
      <c r="R967" s="62"/>
      <c r="T967" s="62"/>
      <c r="U967" s="62"/>
    </row>
    <row r="968" spans="3:21" ht="15.75" customHeight="1">
      <c r="C968" s="62"/>
      <c r="D968" s="62"/>
      <c r="E968" s="62"/>
      <c r="G968" s="62"/>
      <c r="H968" s="62"/>
      <c r="I968" s="62"/>
      <c r="L968" s="62"/>
      <c r="Q968" s="62"/>
      <c r="R968" s="62"/>
      <c r="T968" s="62"/>
      <c r="U968" s="62"/>
    </row>
    <row r="969" spans="3:21" ht="15.75" customHeight="1">
      <c r="C969" s="62"/>
      <c r="D969" s="62"/>
      <c r="E969" s="62"/>
      <c r="G969" s="62"/>
      <c r="H969" s="62"/>
      <c r="I969" s="62"/>
      <c r="L969" s="62"/>
      <c r="Q969" s="62"/>
      <c r="R969" s="62"/>
      <c r="T969" s="62"/>
      <c r="U969" s="62"/>
    </row>
    <row r="970" spans="3:21" ht="15.75" customHeight="1">
      <c r="C970" s="62"/>
      <c r="D970" s="62"/>
      <c r="E970" s="62"/>
      <c r="G970" s="62"/>
      <c r="H970" s="62"/>
      <c r="I970" s="62"/>
      <c r="L970" s="62"/>
      <c r="Q970" s="62"/>
      <c r="R970" s="62"/>
      <c r="T970" s="62"/>
      <c r="U970" s="62"/>
    </row>
    <row r="971" spans="3:21" ht="15.75" customHeight="1">
      <c r="C971" s="62"/>
      <c r="D971" s="62"/>
      <c r="E971" s="62"/>
      <c r="G971" s="62"/>
      <c r="H971" s="62"/>
      <c r="I971" s="62"/>
      <c r="L971" s="62"/>
      <c r="Q971" s="62"/>
      <c r="R971" s="62"/>
      <c r="T971" s="62"/>
      <c r="U971" s="62"/>
    </row>
    <row r="972" spans="3:21" ht="15.75" customHeight="1">
      <c r="C972" s="62"/>
      <c r="D972" s="62"/>
      <c r="E972" s="62"/>
      <c r="G972" s="62"/>
      <c r="H972" s="62"/>
      <c r="I972" s="62"/>
      <c r="L972" s="62"/>
      <c r="Q972" s="62"/>
      <c r="R972" s="62"/>
      <c r="T972" s="62"/>
      <c r="U972" s="62"/>
    </row>
    <row r="973" spans="3:21" ht="15.75" customHeight="1">
      <c r="C973" s="62"/>
      <c r="D973" s="62"/>
      <c r="E973" s="62"/>
      <c r="G973" s="62"/>
      <c r="H973" s="62"/>
      <c r="I973" s="62"/>
      <c r="L973" s="62"/>
      <c r="Q973" s="62"/>
      <c r="R973" s="62"/>
      <c r="T973" s="62"/>
      <c r="U973" s="62"/>
    </row>
    <row r="974" spans="3:21" ht="15.75" customHeight="1">
      <c r="C974" s="62"/>
      <c r="D974" s="62"/>
      <c r="E974" s="62"/>
      <c r="G974" s="62"/>
      <c r="H974" s="62"/>
      <c r="I974" s="62"/>
      <c r="L974" s="62"/>
      <c r="Q974" s="62"/>
      <c r="R974" s="62"/>
      <c r="T974" s="62"/>
      <c r="U974" s="62"/>
    </row>
    <row r="975" spans="3:21" ht="15.75" customHeight="1">
      <c r="C975" s="62"/>
      <c r="D975" s="62"/>
      <c r="E975" s="62"/>
      <c r="G975" s="62"/>
      <c r="H975" s="62"/>
      <c r="I975" s="62"/>
      <c r="L975" s="62"/>
      <c r="Q975" s="62"/>
      <c r="R975" s="62"/>
      <c r="T975" s="62"/>
      <c r="U975" s="62"/>
    </row>
    <row r="976" spans="3:21" ht="15.75" customHeight="1">
      <c r="C976" s="62"/>
      <c r="D976" s="62"/>
      <c r="E976" s="62"/>
      <c r="G976" s="62"/>
      <c r="H976" s="62"/>
      <c r="I976" s="62"/>
      <c r="L976" s="62"/>
      <c r="Q976" s="62"/>
      <c r="R976" s="62"/>
      <c r="T976" s="62"/>
      <c r="U976" s="62"/>
    </row>
    <row r="977" spans="3:21" ht="15.75" customHeight="1">
      <c r="C977" s="62"/>
      <c r="D977" s="62"/>
      <c r="E977" s="62"/>
      <c r="G977" s="62"/>
      <c r="H977" s="62"/>
      <c r="I977" s="62"/>
      <c r="L977" s="62"/>
      <c r="Q977" s="62"/>
      <c r="R977" s="62"/>
      <c r="T977" s="62"/>
      <c r="U977" s="62"/>
    </row>
    <row r="978" spans="3:21" ht="15.75" customHeight="1">
      <c r="C978" s="62"/>
      <c r="D978" s="62"/>
      <c r="E978" s="62"/>
      <c r="G978" s="62"/>
      <c r="H978" s="62"/>
      <c r="I978" s="62"/>
      <c r="L978" s="62"/>
      <c r="Q978" s="62"/>
      <c r="R978" s="62"/>
      <c r="T978" s="62"/>
      <c r="U978" s="62"/>
    </row>
    <row r="979" spans="3:21" ht="15.75" customHeight="1">
      <c r="C979" s="62"/>
      <c r="D979" s="62"/>
      <c r="E979" s="62"/>
      <c r="G979" s="62"/>
      <c r="H979" s="62"/>
      <c r="I979" s="62"/>
      <c r="L979" s="62"/>
      <c r="Q979" s="62"/>
      <c r="R979" s="62"/>
      <c r="T979" s="62"/>
      <c r="U979" s="62"/>
    </row>
    <row r="980" spans="3:21" ht="15.75" customHeight="1">
      <c r="C980" s="62"/>
      <c r="D980" s="62"/>
      <c r="E980" s="62"/>
      <c r="G980" s="62"/>
      <c r="H980" s="62"/>
      <c r="I980" s="62"/>
      <c r="L980" s="62"/>
      <c r="Q980" s="62"/>
      <c r="R980" s="62"/>
      <c r="T980" s="62"/>
      <c r="U980" s="62"/>
    </row>
    <row r="981" spans="3:21" ht="15.75" customHeight="1">
      <c r="C981" s="62"/>
      <c r="D981" s="62"/>
      <c r="E981" s="62"/>
      <c r="G981" s="62"/>
      <c r="H981" s="62"/>
      <c r="I981" s="62"/>
      <c r="L981" s="62"/>
      <c r="Q981" s="62"/>
      <c r="R981" s="62"/>
      <c r="T981" s="62"/>
      <c r="U981" s="62"/>
    </row>
    <row r="982" spans="3:21" ht="15.75" customHeight="1">
      <c r="C982" s="62"/>
      <c r="D982" s="62"/>
      <c r="E982" s="62"/>
      <c r="G982" s="62"/>
      <c r="H982" s="62"/>
      <c r="I982" s="62"/>
      <c r="L982" s="62"/>
      <c r="Q982" s="62"/>
      <c r="R982" s="62"/>
      <c r="T982" s="62"/>
      <c r="U982" s="62"/>
    </row>
    <row r="983" spans="3:21" ht="15.75" customHeight="1">
      <c r="C983" s="62"/>
      <c r="D983" s="62"/>
      <c r="E983" s="62"/>
      <c r="G983" s="62"/>
      <c r="H983" s="62"/>
      <c r="I983" s="62"/>
      <c r="L983" s="62"/>
      <c r="Q983" s="62"/>
      <c r="R983" s="62"/>
      <c r="T983" s="62"/>
      <c r="U983" s="62"/>
    </row>
    <row r="984" spans="3:21" ht="15.75" customHeight="1">
      <c r="C984" s="62"/>
      <c r="D984" s="62"/>
      <c r="E984" s="62"/>
      <c r="G984" s="62"/>
      <c r="H984" s="62"/>
      <c r="I984" s="62"/>
      <c r="L984" s="62"/>
      <c r="Q984" s="62"/>
      <c r="R984" s="62"/>
      <c r="T984" s="62"/>
      <c r="U984" s="62"/>
    </row>
    <row r="985" spans="3:21" ht="15.75" customHeight="1">
      <c r="C985" s="62"/>
      <c r="D985" s="62"/>
      <c r="E985" s="62"/>
      <c r="G985" s="62"/>
      <c r="H985" s="62"/>
      <c r="I985" s="62"/>
      <c r="L985" s="62"/>
      <c r="Q985" s="62"/>
      <c r="R985" s="62"/>
      <c r="T985" s="62"/>
      <c r="U985" s="62"/>
    </row>
    <row r="986" spans="3:21" ht="15.75" customHeight="1">
      <c r="C986" s="62"/>
      <c r="D986" s="62"/>
      <c r="E986" s="62"/>
      <c r="G986" s="62"/>
      <c r="H986" s="62"/>
      <c r="I986" s="62"/>
      <c r="L986" s="62"/>
      <c r="Q986" s="62"/>
      <c r="R986" s="62"/>
      <c r="T986" s="62"/>
      <c r="U986" s="62"/>
    </row>
    <row r="987" spans="3:21" ht="15.75" customHeight="1">
      <c r="C987" s="62"/>
      <c r="D987" s="62"/>
      <c r="E987" s="62"/>
      <c r="G987" s="62"/>
      <c r="H987" s="62"/>
      <c r="I987" s="62"/>
      <c r="L987" s="62"/>
      <c r="Q987" s="62"/>
      <c r="R987" s="62"/>
      <c r="T987" s="62"/>
      <c r="U987" s="62"/>
    </row>
    <row r="988" spans="3:21" ht="15.75" customHeight="1">
      <c r="C988" s="62"/>
      <c r="D988" s="62"/>
      <c r="E988" s="62"/>
      <c r="G988" s="62"/>
      <c r="H988" s="62"/>
      <c r="I988" s="62"/>
      <c r="L988" s="62"/>
      <c r="Q988" s="62"/>
      <c r="R988" s="62"/>
      <c r="T988" s="62"/>
      <c r="U988" s="62"/>
    </row>
    <row r="989" spans="3:21" ht="15.75" customHeight="1">
      <c r="C989" s="62"/>
      <c r="D989" s="62"/>
      <c r="E989" s="62"/>
      <c r="G989" s="62"/>
      <c r="H989" s="62"/>
      <c r="I989" s="62"/>
      <c r="L989" s="62"/>
      <c r="Q989" s="62"/>
      <c r="R989" s="62"/>
      <c r="T989" s="62"/>
      <c r="U989" s="62"/>
    </row>
    <row r="990" spans="3:21" ht="15.75" customHeight="1">
      <c r="C990" s="62"/>
      <c r="D990" s="62"/>
      <c r="E990" s="62"/>
      <c r="G990" s="62"/>
      <c r="H990" s="62"/>
      <c r="I990" s="62"/>
      <c r="L990" s="62"/>
      <c r="Q990" s="62"/>
      <c r="R990" s="62"/>
      <c r="T990" s="62"/>
      <c r="U990" s="62"/>
    </row>
    <row r="991" spans="3:21" ht="15.75" customHeight="1">
      <c r="C991" s="62"/>
      <c r="D991" s="62"/>
      <c r="E991" s="62"/>
      <c r="G991" s="62"/>
      <c r="H991" s="62"/>
      <c r="I991" s="62"/>
      <c r="L991" s="62"/>
      <c r="Q991" s="62"/>
      <c r="R991" s="62"/>
      <c r="T991" s="62"/>
      <c r="U991" s="62"/>
    </row>
    <row r="992" spans="3:21" ht="15.75" customHeight="1">
      <c r="C992" s="62"/>
      <c r="D992" s="62"/>
      <c r="E992" s="62"/>
      <c r="G992" s="62"/>
      <c r="H992" s="62"/>
      <c r="I992" s="62"/>
      <c r="L992" s="62"/>
      <c r="Q992" s="62"/>
      <c r="R992" s="62"/>
      <c r="T992" s="62"/>
      <c r="U992" s="62"/>
    </row>
    <row r="993" spans="3:21" ht="15.75" customHeight="1">
      <c r="C993" s="62"/>
      <c r="D993" s="62"/>
      <c r="E993" s="62"/>
      <c r="G993" s="62"/>
      <c r="H993" s="62"/>
      <c r="I993" s="62"/>
      <c r="L993" s="62"/>
      <c r="Q993" s="62"/>
      <c r="R993" s="62"/>
      <c r="T993" s="62"/>
      <c r="U993" s="62"/>
    </row>
    <row r="994" spans="3:21" ht="15.75" customHeight="1">
      <c r="C994" s="62"/>
      <c r="D994" s="62"/>
      <c r="E994" s="62"/>
      <c r="G994" s="62"/>
      <c r="H994" s="62"/>
      <c r="I994" s="62"/>
      <c r="L994" s="62"/>
      <c r="Q994" s="62"/>
      <c r="R994" s="62"/>
      <c r="T994" s="62"/>
      <c r="U994" s="62"/>
    </row>
    <row r="995" spans="3:21" ht="15.75" customHeight="1">
      <c r="C995" s="62"/>
      <c r="D995" s="62"/>
      <c r="E995" s="62"/>
      <c r="G995" s="62"/>
      <c r="H995" s="62"/>
      <c r="I995" s="62"/>
      <c r="L995" s="62"/>
      <c r="Q995" s="62"/>
      <c r="R995" s="62"/>
      <c r="T995" s="62"/>
      <c r="U995" s="62"/>
    </row>
    <row r="996" spans="3:21" ht="15.75" customHeight="1">
      <c r="C996" s="62"/>
      <c r="D996" s="62"/>
      <c r="E996" s="62"/>
      <c r="G996" s="62"/>
      <c r="H996" s="62"/>
      <c r="I996" s="62"/>
      <c r="L996" s="62"/>
      <c r="Q996" s="62"/>
      <c r="R996" s="62"/>
      <c r="T996" s="62"/>
      <c r="U996" s="62"/>
    </row>
    <row r="997" spans="3:21" ht="15.75" customHeight="1">
      <c r="C997" s="62"/>
      <c r="D997" s="62"/>
      <c r="E997" s="62"/>
      <c r="G997" s="62"/>
      <c r="H997" s="62"/>
      <c r="I997" s="62"/>
      <c r="L997" s="62"/>
      <c r="Q997" s="62"/>
      <c r="R997" s="62"/>
      <c r="T997" s="62"/>
      <c r="U997" s="62"/>
    </row>
    <row r="998" spans="3:21" ht="15.75" customHeight="1">
      <c r="C998" s="62"/>
      <c r="D998" s="62"/>
      <c r="E998" s="62"/>
      <c r="G998" s="62"/>
      <c r="H998" s="62"/>
      <c r="I998" s="62"/>
      <c r="L998" s="62"/>
      <c r="Q998" s="62"/>
      <c r="R998" s="62"/>
      <c r="T998" s="62"/>
      <c r="U998" s="62"/>
    </row>
    <row r="999" spans="3:21" ht="15.75" customHeight="1">
      <c r="C999" s="62"/>
      <c r="D999" s="62"/>
      <c r="E999" s="62"/>
      <c r="G999" s="62"/>
      <c r="H999" s="62"/>
      <c r="I999" s="62"/>
      <c r="L999" s="62"/>
      <c r="Q999" s="62"/>
      <c r="R999" s="62"/>
      <c r="T999" s="62"/>
      <c r="U999" s="62"/>
    </row>
    <row r="1000" spans="3:21" ht="15.75" customHeight="1">
      <c r="C1000" s="62"/>
      <c r="D1000" s="62"/>
      <c r="E1000" s="62"/>
      <c r="G1000" s="62"/>
      <c r="H1000" s="62"/>
      <c r="I1000" s="62"/>
      <c r="L1000" s="62"/>
      <c r="Q1000" s="62"/>
      <c r="R1000" s="62"/>
      <c r="T1000" s="62"/>
      <c r="U1000" s="62"/>
    </row>
  </sheetData>
  <mergeCells count="21">
    <mergeCell ref="V2:V3"/>
    <mergeCell ref="K2:K3"/>
    <mergeCell ref="I2:I3"/>
    <mergeCell ref="T2:T3"/>
    <mergeCell ref="Q2:Q3"/>
    <mergeCell ref="R2:R3"/>
    <mergeCell ref="S2:S3"/>
    <mergeCell ref="U2:U3"/>
    <mergeCell ref="P2:P3"/>
    <mergeCell ref="B2:B3"/>
    <mergeCell ref="C2:C3"/>
    <mergeCell ref="D2:D3"/>
    <mergeCell ref="E2:E3"/>
    <mergeCell ref="F2:F3"/>
    <mergeCell ref="G2:G3"/>
    <mergeCell ref="H2:H3"/>
    <mergeCell ref="J2:J3"/>
    <mergeCell ref="L2:L3"/>
    <mergeCell ref="M2:M3"/>
    <mergeCell ref="N2:N3"/>
    <mergeCell ref="O2:O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0"/>
  <sheetViews>
    <sheetView topLeftCell="A4" zoomScale="50" zoomScaleNormal="50" workbookViewId="0">
      <selection activeCell="C2" sqref="C2:U162"/>
    </sheetView>
  </sheetViews>
  <sheetFormatPr defaultColWidth="9.6640625" defaultRowHeight="15" customHeight="1"/>
  <cols>
    <col min="1" max="1" width="3.88671875" style="67" customWidth="1"/>
    <col min="2" max="2" width="16.5546875" style="67" bestFit="1" customWidth="1"/>
    <col min="3" max="5" width="20.109375" style="86" customWidth="1"/>
    <col min="6" max="6" width="12" style="120" customWidth="1"/>
    <col min="7" max="7" width="17.109375" style="86" customWidth="1"/>
    <col min="8" max="8" width="18.21875" style="86" customWidth="1"/>
    <col min="9" max="9" width="20.21875" style="63" customWidth="1"/>
    <col min="10" max="10" width="9.6640625" style="125"/>
    <col min="11" max="11" width="17.33203125" style="75" customWidth="1"/>
    <col min="12" max="12" width="18.21875" style="86" customWidth="1"/>
    <col min="13" max="13" width="20.21875" style="86" customWidth="1"/>
    <col min="14" max="14" width="9.6640625" style="127"/>
    <col min="15" max="15" width="12.77734375" style="126" customWidth="1"/>
    <col min="16" max="16" width="16.77734375" style="128" customWidth="1"/>
    <col min="17" max="18" width="21.88671875" style="119" bestFit="1" customWidth="1"/>
    <col min="19" max="19" width="19.6640625" style="136" customWidth="1"/>
    <col min="20" max="20" width="18.109375" style="119" customWidth="1"/>
    <col min="21" max="21" width="20" style="119" customWidth="1"/>
    <col min="22" max="22" width="12.77734375" style="131" customWidth="1"/>
    <col min="23" max="16384" width="9.6640625" style="67"/>
  </cols>
  <sheetData>
    <row r="1" spans="2:22" ht="16.5" thickBot="1"/>
    <row r="2" spans="2:22" ht="17.100000000000001" customHeight="1">
      <c r="B2" s="68" t="s">
        <v>0</v>
      </c>
      <c r="C2" s="156" t="s">
        <v>1</v>
      </c>
      <c r="D2" s="156" t="s">
        <v>2</v>
      </c>
      <c r="E2" s="156" t="s">
        <v>3</v>
      </c>
      <c r="F2" s="121" t="s">
        <v>4</v>
      </c>
      <c r="G2" s="156" t="s">
        <v>199</v>
      </c>
      <c r="H2" s="156" t="s">
        <v>200</v>
      </c>
      <c r="I2" s="157" t="s">
        <v>341</v>
      </c>
      <c r="J2" s="158" t="s">
        <v>5</v>
      </c>
      <c r="K2" s="159" t="s">
        <v>342</v>
      </c>
      <c r="L2" s="141" t="s">
        <v>201</v>
      </c>
      <c r="M2" s="160" t="s">
        <v>202</v>
      </c>
      <c r="N2" s="161" t="s">
        <v>6</v>
      </c>
      <c r="O2" s="162" t="s">
        <v>7</v>
      </c>
      <c r="P2" s="163" t="s">
        <v>8</v>
      </c>
      <c r="Q2" s="141" t="s">
        <v>9</v>
      </c>
      <c r="R2" s="141" t="s">
        <v>10</v>
      </c>
      <c r="S2" s="137" t="s">
        <v>11</v>
      </c>
      <c r="T2" s="141" t="s">
        <v>342</v>
      </c>
      <c r="U2" s="141" t="s">
        <v>13</v>
      </c>
      <c r="V2" s="132" t="s">
        <v>14</v>
      </c>
    </row>
    <row r="3" spans="2:22" ht="16.5" customHeight="1" thickBot="1">
      <c r="B3" s="69"/>
      <c r="C3" s="164"/>
      <c r="D3" s="164"/>
      <c r="E3" s="164"/>
      <c r="F3" s="122"/>
      <c r="G3" s="164"/>
      <c r="H3" s="164"/>
      <c r="I3" s="165"/>
      <c r="J3" s="166"/>
      <c r="K3" s="167"/>
      <c r="L3" s="142"/>
      <c r="M3" s="168"/>
      <c r="N3" s="169"/>
      <c r="O3" s="170"/>
      <c r="P3" s="171"/>
      <c r="Q3" s="142"/>
      <c r="R3" s="142"/>
      <c r="S3" s="138"/>
      <c r="T3" s="142"/>
      <c r="U3" s="142"/>
      <c r="V3" s="133"/>
    </row>
    <row r="4" spans="2:22" ht="32.25" thickTop="1">
      <c r="B4" s="70" t="s">
        <v>15</v>
      </c>
      <c r="C4" s="130"/>
      <c r="D4" s="130"/>
      <c r="E4" s="130"/>
      <c r="F4" s="123" t="e">
        <f>(C4-D4)/E4</f>
        <v>#DIV/0!</v>
      </c>
      <c r="G4" s="130"/>
      <c r="H4" s="130"/>
      <c r="I4" s="94"/>
      <c r="J4" s="172"/>
      <c r="K4" s="173"/>
      <c r="L4" s="130"/>
      <c r="M4" s="130">
        <v>360</v>
      </c>
      <c r="N4" s="174"/>
      <c r="O4" s="175"/>
      <c r="P4" s="176"/>
      <c r="Q4" s="130"/>
      <c r="R4" s="130"/>
      <c r="S4" s="139">
        <f>Q4-R4</f>
        <v>0</v>
      </c>
      <c r="T4" s="130"/>
      <c r="U4" s="130"/>
      <c r="V4" s="134" t="e">
        <f>#REF!/U4</f>
        <v>#REF!</v>
      </c>
    </row>
    <row r="5" spans="2:22" ht="15.75">
      <c r="B5" s="71" t="s">
        <v>16</v>
      </c>
      <c r="C5" s="94"/>
      <c r="D5" s="94"/>
      <c r="E5" s="94"/>
      <c r="F5" s="124"/>
      <c r="G5" s="94"/>
      <c r="H5" s="94"/>
      <c r="I5" s="94"/>
      <c r="J5" s="106"/>
      <c r="K5" s="177"/>
      <c r="L5" s="94"/>
      <c r="M5" s="94"/>
      <c r="N5" s="108"/>
      <c r="O5" s="178"/>
      <c r="P5" s="179"/>
      <c r="Q5" s="94"/>
      <c r="R5" s="94"/>
      <c r="S5" s="140"/>
      <c r="T5" s="94"/>
      <c r="U5" s="94"/>
      <c r="V5" s="135"/>
    </row>
    <row r="6" spans="2:22" ht="31.5">
      <c r="B6" s="72" t="s">
        <v>17</v>
      </c>
      <c r="C6" s="94">
        <v>2581774</v>
      </c>
      <c r="D6" s="94">
        <v>3957441</v>
      </c>
      <c r="E6" s="94">
        <v>17321565</v>
      </c>
      <c r="F6" s="124">
        <f>(C6-D6)/E6</f>
        <v>-7.9419324985935166E-2</v>
      </c>
      <c r="G6" s="94">
        <v>553364</v>
      </c>
      <c r="H6" s="94">
        <v>7099577</v>
      </c>
      <c r="I6" s="94">
        <v>360</v>
      </c>
      <c r="J6" s="106">
        <f>G6/(H6/I6)</f>
        <v>28.059564675472917</v>
      </c>
      <c r="K6" s="177">
        <f>T6</f>
        <v>8871708</v>
      </c>
      <c r="L6" s="94">
        <f>12462+1057145</f>
        <v>1069607</v>
      </c>
      <c r="M6" s="95">
        <v>9239022</v>
      </c>
      <c r="N6" s="108">
        <f>(I6)/(M6/L6)</f>
        <v>41.677411310417916</v>
      </c>
      <c r="O6" s="178">
        <f>(J6)/(I6/N6)</f>
        <v>3.2484722726971058</v>
      </c>
      <c r="P6" s="179">
        <f>J6+N6-O6</f>
        <v>66.488503713193737</v>
      </c>
      <c r="Q6" s="94">
        <v>14739791</v>
      </c>
      <c r="R6" s="94">
        <v>14933115</v>
      </c>
      <c r="S6" s="140">
        <f>Q6-R6</f>
        <v>-193324</v>
      </c>
      <c r="T6" s="94">
        <v>8871708</v>
      </c>
      <c r="U6" s="94">
        <v>8449857</v>
      </c>
      <c r="V6" s="135">
        <f>T6/U6</f>
        <v>1.0499240401346437</v>
      </c>
    </row>
    <row r="7" spans="2:22" ht="31.5">
      <c r="B7" s="72" t="s">
        <v>18</v>
      </c>
      <c r="C7" s="94">
        <v>13133854</v>
      </c>
      <c r="D7" s="94">
        <v>2687743</v>
      </c>
      <c r="E7" s="94">
        <v>27638360</v>
      </c>
      <c r="F7" s="124">
        <f t="shared" ref="F7:F70" si="0">(C7-D7)/E7</f>
        <v>0.37795697718677951</v>
      </c>
      <c r="G7" s="94">
        <v>1521197</v>
      </c>
      <c r="H7" s="94">
        <v>9888919</v>
      </c>
      <c r="I7" s="94">
        <v>360</v>
      </c>
      <c r="J7" s="106">
        <f t="shared" ref="J7:J70" si="1">G7/(H7/I7)</f>
        <v>55.378239016822775</v>
      </c>
      <c r="K7" s="177">
        <f t="shared" ref="K7:K70" si="2">T7</f>
        <v>3772410</v>
      </c>
      <c r="L7" s="94">
        <f>26531+2508159</f>
        <v>2534690</v>
      </c>
      <c r="M7" s="94">
        <v>17798055</v>
      </c>
      <c r="N7" s="108">
        <f t="shared" ref="N7:N70" si="3">(I7)/(M7/L7)</f>
        <v>51.268995404273113</v>
      </c>
      <c r="O7" s="178">
        <f t="shared" ref="O7:O70" si="4">(J7)/(I7/N7)</f>
        <v>7.8866296712506241</v>
      </c>
      <c r="P7" s="179">
        <f t="shared" ref="P7:P70" si="5">J7+N7-O7</f>
        <v>98.760604749845271</v>
      </c>
      <c r="Q7" s="94">
        <v>14504506</v>
      </c>
      <c r="R7" s="94">
        <v>12797265</v>
      </c>
      <c r="S7" s="140">
        <f t="shared" ref="S7:S70" si="6">Q7-R7</f>
        <v>1707241</v>
      </c>
      <c r="T7" s="94">
        <v>3772410</v>
      </c>
      <c r="U7" s="94">
        <v>23865950</v>
      </c>
      <c r="V7" s="135">
        <f t="shared" ref="V7:V70" si="7">T7/U7</f>
        <v>0.15806661792218621</v>
      </c>
    </row>
    <row r="8" spans="2:22" ht="31.5">
      <c r="B8" s="72" t="s">
        <v>19</v>
      </c>
      <c r="C8" s="94">
        <v>1938566969</v>
      </c>
      <c r="D8" s="94">
        <v>255994894</v>
      </c>
      <c r="E8" s="94">
        <v>3268667933</v>
      </c>
      <c r="F8" s="124">
        <f t="shared" si="0"/>
        <v>0.51475772684431942</v>
      </c>
      <c r="G8" s="94">
        <v>185853457</v>
      </c>
      <c r="H8" s="94">
        <v>967669232</v>
      </c>
      <c r="I8" s="94">
        <v>360</v>
      </c>
      <c r="J8" s="106">
        <f t="shared" si="1"/>
        <v>69.142680481547032</v>
      </c>
      <c r="K8" s="177">
        <f t="shared" si="2"/>
        <v>319315349</v>
      </c>
      <c r="L8" s="94">
        <f>39246617+170843</f>
        <v>39417460</v>
      </c>
      <c r="M8" s="94">
        <v>1461248284</v>
      </c>
      <c r="N8" s="108">
        <f t="shared" si="3"/>
        <v>9.7110708394850711</v>
      </c>
      <c r="O8" s="178">
        <f t="shared" si="4"/>
        <v>1.8651374116338473</v>
      </c>
      <c r="P8" s="179">
        <f t="shared" si="5"/>
        <v>76.988613909398254</v>
      </c>
      <c r="Q8" s="94">
        <v>1330100964</v>
      </c>
      <c r="R8" s="94">
        <v>592711619</v>
      </c>
      <c r="S8" s="140">
        <f t="shared" si="6"/>
        <v>737389345</v>
      </c>
      <c r="T8" s="94">
        <f>255994894+63320455</f>
        <v>319315349</v>
      </c>
      <c r="U8" s="94">
        <v>2949352584</v>
      </c>
      <c r="V8" s="135">
        <f t="shared" si="7"/>
        <v>0.10826625162832684</v>
      </c>
    </row>
    <row r="9" spans="2:22" ht="31.5">
      <c r="B9" s="72" t="s">
        <v>20</v>
      </c>
      <c r="C9" s="94" t="s">
        <v>339</v>
      </c>
      <c r="D9" s="94">
        <v>6599189622</v>
      </c>
      <c r="E9" s="94" t="s">
        <v>340</v>
      </c>
      <c r="F9" s="124" t="e">
        <f t="shared" si="0"/>
        <v>#VALUE!</v>
      </c>
      <c r="G9" s="94">
        <v>2408974072</v>
      </c>
      <c r="H9" s="94">
        <v>16302008098</v>
      </c>
      <c r="I9" s="94">
        <v>360</v>
      </c>
      <c r="J9" s="106">
        <f t="shared" si="1"/>
        <v>53.197781568173525</v>
      </c>
      <c r="K9" s="177">
        <f t="shared" si="2"/>
        <v>10712320531</v>
      </c>
      <c r="L9" s="94">
        <f>2716270338+827569631</f>
        <v>3543839969</v>
      </c>
      <c r="M9" s="94">
        <v>26948004471</v>
      </c>
      <c r="N9" s="108">
        <f t="shared" si="3"/>
        <v>47.342369644213498</v>
      </c>
      <c r="O9" s="178">
        <f t="shared" si="4"/>
        <v>6.9958584423683297</v>
      </c>
      <c r="P9" s="179">
        <f t="shared" si="5"/>
        <v>93.5442927700187</v>
      </c>
      <c r="Q9" s="94">
        <v>27614415022</v>
      </c>
      <c r="R9" s="180">
        <v>22683130062</v>
      </c>
      <c r="S9" s="140">
        <f t="shared" si="6"/>
        <v>4931284960</v>
      </c>
      <c r="T9" s="94">
        <v>10712320531</v>
      </c>
      <c r="U9" s="94">
        <v>27440798401</v>
      </c>
      <c r="V9" s="135">
        <f t="shared" si="7"/>
        <v>0.39037933133205122</v>
      </c>
    </row>
    <row r="10" spans="2:22" ht="31.5">
      <c r="B10" s="72" t="s">
        <v>21</v>
      </c>
      <c r="C10" s="94">
        <v>12560285337</v>
      </c>
      <c r="D10" s="94">
        <v>10597534431</v>
      </c>
      <c r="E10" s="94">
        <v>19602406034</v>
      </c>
      <c r="F10" s="124">
        <f t="shared" si="0"/>
        <v>0.10012806094290905</v>
      </c>
      <c r="G10" s="94">
        <v>1031277931</v>
      </c>
      <c r="H10" s="94">
        <v>11965441022</v>
      </c>
      <c r="I10" s="94">
        <v>360</v>
      </c>
      <c r="J10" s="106">
        <f t="shared" si="1"/>
        <v>31.02769504921638</v>
      </c>
      <c r="K10" s="177">
        <f t="shared" si="2"/>
        <v>14164304669</v>
      </c>
      <c r="L10" s="94">
        <f>1910721466+871258690</f>
        <v>2781980156</v>
      </c>
      <c r="M10" s="94">
        <v>13620101419</v>
      </c>
      <c r="N10" s="108">
        <f t="shared" si="3"/>
        <v>73.531967593346451</v>
      </c>
      <c r="O10" s="178">
        <f t="shared" si="4"/>
        <v>6.3375762968200418</v>
      </c>
      <c r="P10" s="179">
        <f t="shared" si="5"/>
        <v>98.222086345742781</v>
      </c>
      <c r="Q10" s="94">
        <v>7042120697</v>
      </c>
      <c r="R10" s="94">
        <v>6428010344</v>
      </c>
      <c r="S10" s="140">
        <f t="shared" si="6"/>
        <v>614110353</v>
      </c>
      <c r="T10" s="94">
        <v>14164304669</v>
      </c>
      <c r="U10" s="94">
        <v>5438101365</v>
      </c>
      <c r="V10" s="135">
        <f t="shared" si="7"/>
        <v>2.604641531723269</v>
      </c>
    </row>
    <row r="11" spans="2:22" ht="31.5">
      <c r="B11" s="73" t="s">
        <v>22</v>
      </c>
      <c r="C11" s="94"/>
      <c r="D11" s="94"/>
      <c r="E11" s="94"/>
      <c r="F11" s="124" t="e">
        <f t="shared" si="0"/>
        <v>#DIV/0!</v>
      </c>
      <c r="G11" s="94"/>
      <c r="H11" s="94"/>
      <c r="I11" s="94"/>
      <c r="J11" s="106" t="e">
        <f t="shared" si="1"/>
        <v>#DIV/0!</v>
      </c>
      <c r="K11" s="177">
        <f t="shared" si="2"/>
        <v>0</v>
      </c>
      <c r="L11" s="94"/>
      <c r="M11" s="94"/>
      <c r="N11" s="108" t="e">
        <f t="shared" si="3"/>
        <v>#DIV/0!</v>
      </c>
      <c r="O11" s="178" t="e">
        <f t="shared" si="4"/>
        <v>#DIV/0!</v>
      </c>
      <c r="P11" s="179" t="e">
        <f t="shared" si="5"/>
        <v>#DIV/0!</v>
      </c>
      <c r="Q11" s="94"/>
      <c r="R11" s="94"/>
      <c r="S11" s="140">
        <f t="shared" si="6"/>
        <v>0</v>
      </c>
      <c r="T11" s="94"/>
      <c r="U11" s="94"/>
      <c r="V11" s="135" t="e">
        <f t="shared" si="7"/>
        <v>#DIV/0!</v>
      </c>
    </row>
    <row r="12" spans="2:22" ht="31.5">
      <c r="B12" s="74" t="s">
        <v>23</v>
      </c>
      <c r="C12" s="94">
        <v>509178006986</v>
      </c>
      <c r="D12" s="94">
        <v>498857920866</v>
      </c>
      <c r="E12" s="94">
        <v>1430779475454</v>
      </c>
      <c r="F12" s="124">
        <f t="shared" si="0"/>
        <v>7.2129117708550705E-3</v>
      </c>
      <c r="G12" s="94">
        <v>83987840161</v>
      </c>
      <c r="H12" s="94">
        <v>1003838058164</v>
      </c>
      <c r="I12" s="94">
        <v>360</v>
      </c>
      <c r="J12" s="106">
        <f t="shared" si="1"/>
        <v>30.120020069034201</v>
      </c>
      <c r="K12" s="177">
        <f t="shared" si="2"/>
        <v>536050998398</v>
      </c>
      <c r="L12" s="94">
        <f>397467569273+14100164405</f>
        <v>411567733678</v>
      </c>
      <c r="M12" s="94">
        <v>1291926384471</v>
      </c>
      <c r="N12" s="108">
        <f t="shared" si="3"/>
        <v>114.68485039474466</v>
      </c>
      <c r="O12" s="178">
        <f t="shared" si="4"/>
        <v>9.5953055430663721</v>
      </c>
      <c r="P12" s="179">
        <f t="shared" si="5"/>
        <v>135.20956492071249</v>
      </c>
      <c r="Q12" s="94">
        <v>921601468468</v>
      </c>
      <c r="R12" s="94">
        <v>752479673585</v>
      </c>
      <c r="S12" s="140">
        <f t="shared" si="6"/>
        <v>169121794883</v>
      </c>
      <c r="T12" s="94">
        <v>536050998398</v>
      </c>
      <c r="U12" s="94">
        <v>894728477056</v>
      </c>
      <c r="V12" s="135">
        <f t="shared" si="7"/>
        <v>0.59912142302859683</v>
      </c>
    </row>
    <row r="13" spans="2:22" ht="31.5">
      <c r="B13" s="74" t="s">
        <v>24</v>
      </c>
      <c r="C13" s="94">
        <v>2231181</v>
      </c>
      <c r="D13" s="94">
        <v>479376</v>
      </c>
      <c r="E13" s="94">
        <v>4270275</v>
      </c>
      <c r="F13" s="124">
        <f t="shared" si="0"/>
        <v>0.41023236208440911</v>
      </c>
      <c r="G13" s="94">
        <v>861194</v>
      </c>
      <c r="H13" s="94">
        <v>2868674</v>
      </c>
      <c r="I13" s="94">
        <v>360</v>
      </c>
      <c r="J13" s="106">
        <f t="shared" si="1"/>
        <v>108.07426706555015</v>
      </c>
      <c r="K13" s="177">
        <f t="shared" si="2"/>
        <v>880052</v>
      </c>
      <c r="L13" s="94">
        <v>353443</v>
      </c>
      <c r="M13" s="94">
        <v>3665989</v>
      </c>
      <c r="N13" s="108">
        <f t="shared" si="3"/>
        <v>34.708091049918593</v>
      </c>
      <c r="O13" s="178">
        <f t="shared" si="4"/>
        <v>10.419587504067589</v>
      </c>
      <c r="P13" s="179">
        <f t="shared" si="5"/>
        <v>132.36277061140117</v>
      </c>
      <c r="Q13" s="94">
        <v>2039094</v>
      </c>
      <c r="R13" s="94">
        <v>1682397</v>
      </c>
      <c r="S13" s="140">
        <f t="shared" si="6"/>
        <v>356697</v>
      </c>
      <c r="T13" s="94">
        <v>880052</v>
      </c>
      <c r="U13" s="94">
        <v>3390223</v>
      </c>
      <c r="V13" s="135">
        <f t="shared" si="7"/>
        <v>0.25958528391790159</v>
      </c>
    </row>
    <row r="14" spans="2:22" ht="31.5">
      <c r="B14" s="74" t="s">
        <v>25</v>
      </c>
      <c r="C14" s="94">
        <v>143317764548</v>
      </c>
      <c r="D14" s="94">
        <v>177269594413</v>
      </c>
      <c r="E14" s="94">
        <v>390042617783</v>
      </c>
      <c r="F14" s="124">
        <f t="shared" si="0"/>
        <v>-8.704646189173379E-2</v>
      </c>
      <c r="G14" s="94">
        <v>93897154470</v>
      </c>
      <c r="H14" s="94">
        <v>135524717438</v>
      </c>
      <c r="I14" s="94">
        <v>360</v>
      </c>
      <c r="J14" s="106">
        <f t="shared" si="1"/>
        <v>249.42295581368191</v>
      </c>
      <c r="K14" s="177">
        <f t="shared" si="2"/>
        <v>321009676687</v>
      </c>
      <c r="L14" s="94">
        <v>32460011814</v>
      </c>
      <c r="M14" s="94">
        <v>141199773647</v>
      </c>
      <c r="N14" s="108">
        <f t="shared" si="3"/>
        <v>82.759369588325654</v>
      </c>
      <c r="O14" s="178">
        <f t="shared" si="4"/>
        <v>57.339129399992004</v>
      </c>
      <c r="P14" s="179">
        <f t="shared" si="5"/>
        <v>274.84319600201559</v>
      </c>
      <c r="Q14" s="94">
        <v>246724853235</v>
      </c>
      <c r="R14" s="94">
        <v>345311534156</v>
      </c>
      <c r="S14" s="140">
        <f t="shared" si="6"/>
        <v>-98586680921</v>
      </c>
      <c r="T14" s="94">
        <v>321009676687</v>
      </c>
      <c r="U14" s="94">
        <v>69032941096</v>
      </c>
      <c r="V14" s="135">
        <f t="shared" si="7"/>
        <v>4.650094166502206</v>
      </c>
    </row>
    <row r="15" spans="2:22" ht="31.5">
      <c r="B15" s="74" t="s">
        <v>26</v>
      </c>
      <c r="C15" s="94">
        <v>602055890525</v>
      </c>
      <c r="D15" s="94">
        <v>204893681052</v>
      </c>
      <c r="E15" s="94">
        <v>2124390696519</v>
      </c>
      <c r="F15" s="124">
        <f t="shared" si="0"/>
        <v>0.18695346864575571</v>
      </c>
      <c r="G15" s="94">
        <v>203675235284</v>
      </c>
      <c r="H15" s="94">
        <v>844723765039</v>
      </c>
      <c r="I15" s="94">
        <v>360</v>
      </c>
      <c r="J15" s="106">
        <f t="shared" si="1"/>
        <v>86.801257093618943</v>
      </c>
      <c r="K15" s="177">
        <f t="shared" si="2"/>
        <v>310906059952</v>
      </c>
      <c r="L15" s="94">
        <f>380180810192+6858466626</f>
        <v>387039276818</v>
      </c>
      <c r="M15" s="94">
        <v>800392438557</v>
      </c>
      <c r="N15" s="108">
        <f t="shared" si="3"/>
        <v>174.08227882022567</v>
      </c>
      <c r="O15" s="178">
        <f t="shared" si="4"/>
        <v>41.973779553659618</v>
      </c>
      <c r="P15" s="179">
        <f t="shared" si="5"/>
        <v>218.90975636018501</v>
      </c>
      <c r="Q15" s="94">
        <v>1442334805994</v>
      </c>
      <c r="R15" s="94">
        <v>1473618557930</v>
      </c>
      <c r="S15" s="140">
        <f t="shared" si="6"/>
        <v>-31283751936</v>
      </c>
      <c r="T15" s="94">
        <v>310906059952</v>
      </c>
      <c r="U15" s="94">
        <v>1813484636567</v>
      </c>
      <c r="V15" s="135">
        <f t="shared" si="7"/>
        <v>0.17144124283322179</v>
      </c>
    </row>
    <row r="16" spans="2:22" ht="31.5">
      <c r="B16" s="74" t="s">
        <v>27</v>
      </c>
      <c r="C16" s="94">
        <v>1530197787</v>
      </c>
      <c r="D16" s="94">
        <v>1757515738</v>
      </c>
      <c r="E16" s="94">
        <v>7125800277</v>
      </c>
      <c r="F16" s="124">
        <f t="shared" si="0"/>
        <v>-3.1900690752407965E-2</v>
      </c>
      <c r="G16" s="94">
        <v>923103960</v>
      </c>
      <c r="H16" s="94">
        <v>4760283900</v>
      </c>
      <c r="I16" s="94">
        <v>360</v>
      </c>
      <c r="J16" s="106">
        <f t="shared" si="1"/>
        <v>69.810421517086411</v>
      </c>
      <c r="K16" s="177">
        <f t="shared" si="2"/>
        <v>6010681233</v>
      </c>
      <c r="L16" s="94">
        <v>428573968</v>
      </c>
      <c r="M16" s="94">
        <v>5713989433</v>
      </c>
      <c r="N16" s="108">
        <f t="shared" si="3"/>
        <v>27.001559993959479</v>
      </c>
      <c r="O16" s="178">
        <f t="shared" si="4"/>
        <v>5.2360841244366902</v>
      </c>
      <c r="P16" s="179">
        <f t="shared" si="5"/>
        <v>91.575897386609199</v>
      </c>
      <c r="Q16" s="94">
        <v>5595602490</v>
      </c>
      <c r="R16" s="94">
        <v>5592592317</v>
      </c>
      <c r="S16" s="140">
        <f t="shared" si="6"/>
        <v>3010173</v>
      </c>
      <c r="T16" s="94">
        <v>6010681233</v>
      </c>
      <c r="U16" s="94">
        <v>1115119004</v>
      </c>
      <c r="V16" s="135">
        <f t="shared" si="7"/>
        <v>5.3901702073404891</v>
      </c>
    </row>
    <row r="17" spans="2:22" ht="31.5">
      <c r="B17" s="74" t="s">
        <v>28</v>
      </c>
      <c r="C17" s="94">
        <v>1348062605364</v>
      </c>
      <c r="D17" s="94">
        <v>560119357447</v>
      </c>
      <c r="E17" s="94">
        <v>2439540859205</v>
      </c>
      <c r="F17" s="124">
        <f t="shared" si="0"/>
        <v>0.32298833813087918</v>
      </c>
      <c r="G17" s="94">
        <v>603335063226</v>
      </c>
      <c r="H17" s="94">
        <v>1708574245367</v>
      </c>
      <c r="I17" s="94">
        <v>360</v>
      </c>
      <c r="J17" s="106">
        <f t="shared" si="1"/>
        <v>127.12390073204311</v>
      </c>
      <c r="K17" s="177">
        <f t="shared" si="2"/>
        <v>947997940099</v>
      </c>
      <c r="L17" s="94">
        <f>511614066146+11414480027</f>
        <v>523028546173</v>
      </c>
      <c r="M17" s="94">
        <v>2278673871193</v>
      </c>
      <c r="N17" s="108">
        <f t="shared" si="3"/>
        <v>82.631516077243901</v>
      </c>
      <c r="O17" s="178">
        <f t="shared" si="4"/>
        <v>29.179001797616053</v>
      </c>
      <c r="P17" s="179">
        <f t="shared" si="5"/>
        <v>180.57641501167095</v>
      </c>
      <c r="Q17" s="94">
        <v>1091478253841</v>
      </c>
      <c r="R17" s="94">
        <v>947382616351</v>
      </c>
      <c r="S17" s="140">
        <f t="shared" si="6"/>
        <v>144095637490</v>
      </c>
      <c r="T17" s="94">
        <v>947997940099</v>
      </c>
      <c r="U17" s="94">
        <v>1491542919106</v>
      </c>
      <c r="V17" s="135">
        <f t="shared" si="7"/>
        <v>0.63558207273526557</v>
      </c>
    </row>
    <row r="18" spans="2:22" ht="31.5">
      <c r="B18" s="73" t="s">
        <v>29</v>
      </c>
      <c r="C18" s="94"/>
      <c r="D18" s="94"/>
      <c r="E18" s="94"/>
      <c r="F18" s="124" t="e">
        <f t="shared" si="0"/>
        <v>#DIV/0!</v>
      </c>
      <c r="G18" s="94"/>
      <c r="H18" s="94"/>
      <c r="I18" s="94"/>
      <c r="J18" s="106" t="e">
        <f t="shared" si="1"/>
        <v>#DIV/0!</v>
      </c>
      <c r="K18" s="177">
        <f t="shared" si="2"/>
        <v>0</v>
      </c>
      <c r="L18" s="94"/>
      <c r="M18" s="94"/>
      <c r="N18" s="108" t="e">
        <f t="shared" si="3"/>
        <v>#DIV/0!</v>
      </c>
      <c r="O18" s="178" t="e">
        <f t="shared" si="4"/>
        <v>#DIV/0!</v>
      </c>
      <c r="P18" s="179" t="e">
        <f t="shared" si="5"/>
        <v>#DIV/0!</v>
      </c>
      <c r="Q18" s="94"/>
      <c r="R18" s="94"/>
      <c r="S18" s="140">
        <f t="shared" si="6"/>
        <v>0</v>
      </c>
      <c r="T18" s="94"/>
      <c r="U18" s="94"/>
      <c r="V18" s="135" t="e">
        <f t="shared" si="7"/>
        <v>#DIV/0!</v>
      </c>
    </row>
    <row r="19" spans="2:22" ht="31.5">
      <c r="B19" s="74" t="s">
        <v>30</v>
      </c>
      <c r="C19" s="94">
        <v>71782862</v>
      </c>
      <c r="D19" s="94">
        <v>70739218</v>
      </c>
      <c r="E19" s="94">
        <v>144628405</v>
      </c>
      <c r="F19" s="124">
        <f t="shared" si="0"/>
        <v>7.2160375411731877E-3</v>
      </c>
      <c r="G19" s="94">
        <v>22665145</v>
      </c>
      <c r="H19" s="94">
        <v>730559426</v>
      </c>
      <c r="I19" s="95">
        <v>360</v>
      </c>
      <c r="J19" s="106">
        <f t="shared" si="1"/>
        <v>11.168772737181822</v>
      </c>
      <c r="K19" s="177">
        <f t="shared" si="2"/>
        <v>82596104</v>
      </c>
      <c r="L19" s="94">
        <v>27848317</v>
      </c>
      <c r="M19" s="94">
        <v>749146492</v>
      </c>
      <c r="N19" s="108">
        <f t="shared" si="3"/>
        <v>13.38242149841102</v>
      </c>
      <c r="O19" s="178">
        <f t="shared" si="4"/>
        <v>0.41518117885813588</v>
      </c>
      <c r="P19" s="179">
        <f t="shared" si="5"/>
        <v>24.136013056734704</v>
      </c>
      <c r="Q19" s="94">
        <v>72845543</v>
      </c>
      <c r="R19" s="94">
        <v>29485795</v>
      </c>
      <c r="S19" s="140">
        <f t="shared" si="6"/>
        <v>43359748</v>
      </c>
      <c r="T19" s="94">
        <f>70739218+11856886</f>
        <v>82596104</v>
      </c>
      <c r="U19" s="94">
        <v>61980884</v>
      </c>
      <c r="V19" s="135">
        <f t="shared" si="7"/>
        <v>1.3326060983576806</v>
      </c>
    </row>
    <row r="20" spans="2:22" s="75" customFormat="1" ht="31.5">
      <c r="B20" s="74" t="s">
        <v>31</v>
      </c>
      <c r="C20" s="143">
        <v>1370783812492</v>
      </c>
      <c r="D20" s="143">
        <v>1520673338662</v>
      </c>
      <c r="E20" s="143">
        <v>2189037586057</v>
      </c>
      <c r="F20" s="124">
        <f t="shared" si="0"/>
        <v>-6.847279696096413E-2</v>
      </c>
      <c r="G20" s="143">
        <v>729659654409</v>
      </c>
      <c r="H20" s="143">
        <v>3265954379057</v>
      </c>
      <c r="I20" s="95">
        <v>360</v>
      </c>
      <c r="J20" s="106">
        <f t="shared" si="1"/>
        <v>80.429009441057943</v>
      </c>
      <c r="K20" s="177">
        <f t="shared" si="2"/>
        <v>1623926585475</v>
      </c>
      <c r="L20" s="95">
        <f>96009966353+47670584939</f>
        <v>143680551292</v>
      </c>
      <c r="M20" s="95">
        <v>3333329653540</v>
      </c>
      <c r="N20" s="108">
        <f t="shared" si="3"/>
        <v>15.517516669912318</v>
      </c>
      <c r="O20" s="178">
        <f t="shared" si="4"/>
        <v>3.466829152072644</v>
      </c>
      <c r="P20" s="179">
        <f t="shared" si="5"/>
        <v>92.47969695889762</v>
      </c>
      <c r="Q20" s="143">
        <v>818253773565</v>
      </c>
      <c r="R20" s="143">
        <v>788900547912</v>
      </c>
      <c r="S20" s="140">
        <f t="shared" si="6"/>
        <v>29353225653</v>
      </c>
      <c r="T20" s="143">
        <v>1623926585475</v>
      </c>
      <c r="U20" s="143">
        <v>565111000582</v>
      </c>
      <c r="V20" s="135">
        <f t="shared" si="7"/>
        <v>2.8736417868392943</v>
      </c>
    </row>
    <row r="21" spans="2:22" ht="31.5">
      <c r="B21" s="74" t="s">
        <v>32</v>
      </c>
      <c r="C21" s="94">
        <v>136555010564</v>
      </c>
      <c r="D21" s="94">
        <v>31337185002</v>
      </c>
      <c r="E21" s="94">
        <v>183116245288</v>
      </c>
      <c r="F21" s="124">
        <f t="shared" si="0"/>
        <v>0.57459580058839899</v>
      </c>
      <c r="G21" s="94">
        <v>13238783961</v>
      </c>
      <c r="H21" s="94">
        <v>65445759149</v>
      </c>
      <c r="I21" s="95">
        <v>360</v>
      </c>
      <c r="J21" s="106">
        <f t="shared" si="1"/>
        <v>72.823087208895529</v>
      </c>
      <c r="K21" s="177">
        <f t="shared" si="2"/>
        <v>34011648533</v>
      </c>
      <c r="L21" s="94">
        <v>8422549863</v>
      </c>
      <c r="M21" s="94">
        <v>67679530150</v>
      </c>
      <c r="N21" s="108">
        <f t="shared" si="3"/>
        <v>44.801108163130472</v>
      </c>
      <c r="O21" s="178">
        <f t="shared" si="4"/>
        <v>9.0626527967189219</v>
      </c>
      <c r="P21" s="179">
        <f t="shared" si="5"/>
        <v>108.56154257530709</v>
      </c>
      <c r="Q21" s="94">
        <v>183116245288</v>
      </c>
      <c r="R21" s="94">
        <v>174088741855</v>
      </c>
      <c r="S21" s="140">
        <f t="shared" si="6"/>
        <v>9027503433</v>
      </c>
      <c r="T21" s="94">
        <v>34011648533</v>
      </c>
      <c r="U21" s="94">
        <v>149104596755</v>
      </c>
      <c r="V21" s="135">
        <f t="shared" si="7"/>
        <v>0.22810596905262392</v>
      </c>
    </row>
    <row r="22" spans="2:22" ht="31.5">
      <c r="B22" s="74" t="s">
        <v>33</v>
      </c>
      <c r="C22" s="94">
        <v>135097043</v>
      </c>
      <c r="D22" s="94">
        <v>81872149</v>
      </c>
      <c r="E22" s="94">
        <v>260196857</v>
      </c>
      <c r="F22" s="124">
        <f t="shared" si="0"/>
        <v>0.20455625257610241</v>
      </c>
      <c r="G22" s="94">
        <v>83757440</v>
      </c>
      <c r="H22" s="94">
        <v>87194287</v>
      </c>
      <c r="I22" s="95">
        <v>360</v>
      </c>
      <c r="J22" s="106">
        <f t="shared" si="1"/>
        <v>345.81025245381045</v>
      </c>
      <c r="K22" s="177">
        <f t="shared" si="2"/>
        <v>96768655</v>
      </c>
      <c r="L22" s="94">
        <f>19839879+5221356</f>
        <v>25061235</v>
      </c>
      <c r="M22" s="94">
        <v>113656193</v>
      </c>
      <c r="N22" s="108">
        <f t="shared" si="3"/>
        <v>79.380140772443426</v>
      </c>
      <c r="O22" s="178">
        <f t="shared" si="4"/>
        <v>76.251295889826878</v>
      </c>
      <c r="P22" s="179">
        <f t="shared" si="5"/>
        <v>348.93909733642704</v>
      </c>
      <c r="Q22" s="94">
        <v>95582783</v>
      </c>
      <c r="R22" s="94">
        <v>83677123</v>
      </c>
      <c r="S22" s="140">
        <f t="shared" si="6"/>
        <v>11905660</v>
      </c>
      <c r="T22" s="94">
        <v>96768655</v>
      </c>
      <c r="U22" s="94">
        <v>133911171</v>
      </c>
      <c r="V22" s="135">
        <f t="shared" si="7"/>
        <v>0.72263317748151124</v>
      </c>
    </row>
    <row r="23" spans="2:22" ht="31.5">
      <c r="B23" s="74" t="s">
        <v>34</v>
      </c>
      <c r="C23" s="94">
        <v>414761913939</v>
      </c>
      <c r="D23" s="94">
        <v>341082784842</v>
      </c>
      <c r="E23" s="94">
        <v>1183934183257</v>
      </c>
      <c r="F23" s="124">
        <f t="shared" si="0"/>
        <v>6.2232453576354131E-2</v>
      </c>
      <c r="G23" s="94">
        <v>108193612870</v>
      </c>
      <c r="H23" s="94">
        <v>904111212203</v>
      </c>
      <c r="I23" s="95">
        <v>360</v>
      </c>
      <c r="J23" s="106">
        <f t="shared" si="1"/>
        <v>43.080652144876431</v>
      </c>
      <c r="K23" s="177">
        <f t="shared" si="2"/>
        <v>379524183280</v>
      </c>
      <c r="L23" s="94">
        <f>77734724105+40865301668</f>
        <v>118600025773</v>
      </c>
      <c r="M23" s="94">
        <v>913792626540</v>
      </c>
      <c r="N23" s="108">
        <f t="shared" si="3"/>
        <v>46.723959067107927</v>
      </c>
      <c r="O23" s="178">
        <f t="shared" si="4"/>
        <v>5.5913850761153379</v>
      </c>
      <c r="P23" s="179">
        <f t="shared" si="5"/>
        <v>84.213226135869022</v>
      </c>
      <c r="Q23" s="94">
        <v>769172269318</v>
      </c>
      <c r="R23" s="94">
        <v>707414454728</v>
      </c>
      <c r="S23" s="140">
        <f t="shared" si="6"/>
        <v>61757814590</v>
      </c>
      <c r="T23" s="94">
        <v>379524183280</v>
      </c>
      <c r="U23" s="94">
        <v>804409999977</v>
      </c>
      <c r="V23" s="135">
        <f t="shared" si="7"/>
        <v>0.47180440731822265</v>
      </c>
    </row>
    <row r="24" spans="2:22" ht="31.5">
      <c r="B24" s="74" t="s">
        <v>35</v>
      </c>
      <c r="C24" s="94">
        <v>955465955552</v>
      </c>
      <c r="D24" s="94">
        <v>952130242797</v>
      </c>
      <c r="E24" s="94">
        <v>1330259296537</v>
      </c>
      <c r="F24" s="124">
        <f t="shared" si="0"/>
        <v>2.5075658284694573E-3</v>
      </c>
      <c r="G24" s="94">
        <v>278873240213</v>
      </c>
      <c r="H24" s="94">
        <v>1216870812948</v>
      </c>
      <c r="I24" s="95">
        <v>360</v>
      </c>
      <c r="J24" s="106">
        <f t="shared" si="1"/>
        <v>82.502074508191953</v>
      </c>
      <c r="K24" s="177">
        <f t="shared" si="2"/>
        <v>1090438393880</v>
      </c>
      <c r="L24" s="94">
        <f>442399895598+4892128888</f>
        <v>447292024486</v>
      </c>
      <c r="M24" s="94">
        <v>1384675922166</v>
      </c>
      <c r="N24" s="108">
        <f t="shared" si="3"/>
        <v>116.29084194883235</v>
      </c>
      <c r="O24" s="178">
        <f t="shared" si="4"/>
        <v>26.650654741897061</v>
      </c>
      <c r="P24" s="179">
        <f t="shared" si="5"/>
        <v>172.14226171512726</v>
      </c>
      <c r="Q24" s="94">
        <v>374793340985</v>
      </c>
      <c r="R24" s="94">
        <v>249285643645</v>
      </c>
      <c r="S24" s="140">
        <f t="shared" si="6"/>
        <v>125507697340</v>
      </c>
      <c r="T24" s="94">
        <v>1090438393880</v>
      </c>
      <c r="U24" s="94">
        <v>239820902657</v>
      </c>
      <c r="V24" s="135">
        <f t="shared" si="7"/>
        <v>4.5468863714502072</v>
      </c>
    </row>
    <row r="25" spans="2:22" s="75" customFormat="1" ht="31.5">
      <c r="B25" s="74" t="s">
        <v>36</v>
      </c>
      <c r="C25" s="181" t="s">
        <v>343</v>
      </c>
      <c r="D25" s="143">
        <v>45808922184</v>
      </c>
      <c r="E25" s="143">
        <v>265280458589</v>
      </c>
      <c r="F25" s="124" t="e">
        <f t="shared" si="0"/>
        <v>#VALUE!</v>
      </c>
      <c r="G25" s="95">
        <v>20260381020</v>
      </c>
      <c r="H25" s="143">
        <v>83776691669</v>
      </c>
      <c r="I25" s="95">
        <v>360</v>
      </c>
      <c r="J25" s="106">
        <f t="shared" si="1"/>
        <v>87.061651897372684</v>
      </c>
      <c r="K25" s="177">
        <f t="shared" si="2"/>
        <v>705813376884</v>
      </c>
      <c r="L25" s="95">
        <f>3363921912+72852550404</f>
        <v>76216472316</v>
      </c>
      <c r="M25" s="95">
        <v>74797999462</v>
      </c>
      <c r="N25" s="108">
        <f t="shared" si="3"/>
        <v>366.82705728913817</v>
      </c>
      <c r="O25" s="178">
        <f t="shared" si="4"/>
        <v>88.712693245123702</v>
      </c>
      <c r="P25" s="179">
        <f t="shared" si="5"/>
        <v>365.17601594138711</v>
      </c>
      <c r="Q25" s="143">
        <v>153602025075</v>
      </c>
      <c r="R25" s="143">
        <v>152906801051</v>
      </c>
      <c r="S25" s="140">
        <f t="shared" si="6"/>
        <v>695224024</v>
      </c>
      <c r="T25" s="95">
        <f>45808922184+660004454700</f>
        <v>705813376884</v>
      </c>
      <c r="U25" s="95">
        <f>-429260553347</f>
        <v>-429260553347</v>
      </c>
      <c r="V25" s="135">
        <f t="shared" si="7"/>
        <v>-1.6442539883543501</v>
      </c>
    </row>
    <row r="26" spans="2:22" ht="31.5">
      <c r="B26" s="74" t="s">
        <v>37</v>
      </c>
      <c r="C26" s="94">
        <v>214236472460</v>
      </c>
      <c r="D26" s="94">
        <v>16048685715</v>
      </c>
      <c r="E26" s="94">
        <v>363265042157</v>
      </c>
      <c r="F26" s="124">
        <f t="shared" si="0"/>
        <v>0.54557351725395298</v>
      </c>
      <c r="G26" s="94">
        <v>46034291187</v>
      </c>
      <c r="H26" s="94">
        <v>166669015486</v>
      </c>
      <c r="I26" s="95">
        <v>360</v>
      </c>
      <c r="J26" s="106">
        <f t="shared" si="1"/>
        <v>99.4326676676869</v>
      </c>
      <c r="K26" s="177">
        <f t="shared" si="2"/>
        <v>30806011707</v>
      </c>
      <c r="L26" s="94">
        <f>20551932987+137950000000</f>
        <v>158501932987</v>
      </c>
      <c r="M26" s="94">
        <v>143326451256</v>
      </c>
      <c r="N26" s="108">
        <f t="shared" si="3"/>
        <v>398.11699358551795</v>
      </c>
      <c r="O26" s="178">
        <f t="shared" si="4"/>
        <v>109.96065198902068</v>
      </c>
      <c r="P26" s="179">
        <f t="shared" si="5"/>
        <v>387.58900926418414</v>
      </c>
      <c r="Q26" s="94">
        <v>149028569697</v>
      </c>
      <c r="R26" s="94">
        <v>147895060612</v>
      </c>
      <c r="S26" s="140">
        <f t="shared" si="6"/>
        <v>1133509085</v>
      </c>
      <c r="T26" s="94">
        <v>30806011707</v>
      </c>
      <c r="U26" s="94">
        <v>332459030450</v>
      </c>
      <c r="V26" s="135">
        <f t="shared" si="7"/>
        <v>9.2661076660491115E-2</v>
      </c>
    </row>
    <row r="27" spans="2:22" ht="31.5">
      <c r="B27" s="74" t="s">
        <v>38</v>
      </c>
      <c r="C27" s="94">
        <v>89254</v>
      </c>
      <c r="D27" s="144">
        <v>1457187</v>
      </c>
      <c r="E27" s="94">
        <v>3702144</v>
      </c>
      <c r="F27" s="124">
        <f t="shared" si="0"/>
        <v>-0.36949751279258719</v>
      </c>
      <c r="G27" s="94">
        <v>40887</v>
      </c>
      <c r="H27" s="94">
        <v>1358255</v>
      </c>
      <c r="I27" s="95">
        <v>360</v>
      </c>
      <c r="J27" s="106">
        <f t="shared" si="1"/>
        <v>10.836934154484982</v>
      </c>
      <c r="K27" s="177">
        <f t="shared" si="2"/>
        <v>1914040</v>
      </c>
      <c r="L27" s="94">
        <f>115574+95677</f>
        <v>211251</v>
      </c>
      <c r="M27" s="94">
        <v>1321823</v>
      </c>
      <c r="N27" s="108">
        <f t="shared" si="3"/>
        <v>57.534450527793808</v>
      </c>
      <c r="O27" s="178">
        <f t="shared" si="4"/>
        <v>1.7319362555115978</v>
      </c>
      <c r="P27" s="179">
        <f t="shared" si="5"/>
        <v>66.639448426767188</v>
      </c>
      <c r="Q27" s="94">
        <v>2809604</v>
      </c>
      <c r="R27" s="94">
        <v>1545734</v>
      </c>
      <c r="S27" s="140">
        <f t="shared" si="6"/>
        <v>1263870</v>
      </c>
      <c r="T27" s="94">
        <v>1914040</v>
      </c>
      <c r="U27" s="94">
        <v>1781000</v>
      </c>
      <c r="V27" s="135">
        <f t="shared" si="7"/>
        <v>1.0746996069623806</v>
      </c>
    </row>
    <row r="28" spans="2:22" ht="31.5">
      <c r="B28" s="74" t="s">
        <v>39</v>
      </c>
      <c r="C28" s="94">
        <v>508345199844</v>
      </c>
      <c r="D28" s="94">
        <v>133693524978</v>
      </c>
      <c r="E28" s="94">
        <v>639330150373</v>
      </c>
      <c r="F28" s="124">
        <f t="shared" si="0"/>
        <v>0.58600657992966476</v>
      </c>
      <c r="G28" s="94">
        <v>147350263810</v>
      </c>
      <c r="H28" s="94">
        <v>246976933512</v>
      </c>
      <c r="I28" s="95">
        <v>360</v>
      </c>
      <c r="J28" s="106">
        <f t="shared" si="1"/>
        <v>214.78157582283944</v>
      </c>
      <c r="K28" s="177">
        <f t="shared" si="2"/>
        <v>184730654202</v>
      </c>
      <c r="L28" s="94">
        <f>19613090341+74694226371</f>
        <v>94307316712</v>
      </c>
      <c r="M28" s="94">
        <v>389251192409</v>
      </c>
      <c r="N28" s="108">
        <f t="shared" si="3"/>
        <v>87.220372547110586</v>
      </c>
      <c r="O28" s="178">
        <f t="shared" si="4"/>
        <v>52.037025165343152</v>
      </c>
      <c r="P28" s="179">
        <f t="shared" si="5"/>
        <v>249.96492320460686</v>
      </c>
      <c r="Q28" s="94">
        <v>130984950529</v>
      </c>
      <c r="R28" s="94">
        <v>111834103609</v>
      </c>
      <c r="S28" s="140">
        <f t="shared" si="6"/>
        <v>19150846920</v>
      </c>
      <c r="T28" s="94">
        <f>133693524978+51037129224</f>
        <v>184730654202</v>
      </c>
      <c r="U28" s="94">
        <v>454599496171</v>
      </c>
      <c r="V28" s="135">
        <f t="shared" si="7"/>
        <v>0.40635912656733914</v>
      </c>
    </row>
    <row r="29" spans="2:22" ht="31.5">
      <c r="B29" s="74" t="s">
        <v>40</v>
      </c>
      <c r="C29" s="95">
        <v>89126109044</v>
      </c>
      <c r="D29" s="94">
        <v>11018274023</v>
      </c>
      <c r="E29" s="94">
        <v>133782751041</v>
      </c>
      <c r="F29" s="124">
        <f t="shared" si="0"/>
        <v>0.58384084953569626</v>
      </c>
      <c r="G29" s="94">
        <v>22493024478</v>
      </c>
      <c r="H29" s="94">
        <v>164218627743</v>
      </c>
      <c r="I29" s="95">
        <v>360</v>
      </c>
      <c r="J29" s="106">
        <f t="shared" si="1"/>
        <v>49.309197886810161</v>
      </c>
      <c r="K29" s="177">
        <f t="shared" si="2"/>
        <v>21341373897</v>
      </c>
      <c r="L29" s="94">
        <v>20876982285</v>
      </c>
      <c r="M29" s="94">
        <v>174598965938</v>
      </c>
      <c r="N29" s="108">
        <f t="shared" si="3"/>
        <v>43.045579234809587</v>
      </c>
      <c r="O29" s="178">
        <f t="shared" si="4"/>
        <v>5.8959527351155341</v>
      </c>
      <c r="P29" s="179">
        <f t="shared" si="5"/>
        <v>86.458824386504219</v>
      </c>
      <c r="Q29" s="94">
        <v>44656641997</v>
      </c>
      <c r="R29" s="94">
        <v>37796318490</v>
      </c>
      <c r="S29" s="140">
        <f t="shared" si="6"/>
        <v>6860323507</v>
      </c>
      <c r="T29" s="94">
        <v>21341373897</v>
      </c>
      <c r="U29" s="94">
        <v>112441377144</v>
      </c>
      <c r="V29" s="135">
        <f t="shared" si="7"/>
        <v>0.18980000458077634</v>
      </c>
    </row>
    <row r="30" spans="2:22" ht="31.5">
      <c r="B30" s="74" t="s">
        <v>41</v>
      </c>
      <c r="C30" s="94">
        <v>449061302609</v>
      </c>
      <c r="D30" s="94">
        <v>282806672040</v>
      </c>
      <c r="E30" s="94">
        <v>626626507164</v>
      </c>
      <c r="F30" s="124">
        <f t="shared" si="0"/>
        <v>0.26531694505142922</v>
      </c>
      <c r="G30" s="94">
        <v>243964322170</v>
      </c>
      <c r="H30" s="94">
        <v>617470167888</v>
      </c>
      <c r="I30" s="95">
        <v>360</v>
      </c>
      <c r="J30" s="106">
        <f t="shared" si="1"/>
        <v>142.23708374706541</v>
      </c>
      <c r="K30" s="177">
        <f t="shared" si="2"/>
        <v>358697326131</v>
      </c>
      <c r="L30" s="94">
        <f>10982003988+75434816892</f>
        <v>86416820880</v>
      </c>
      <c r="M30" s="94">
        <v>699310599565</v>
      </c>
      <c r="N30" s="108">
        <f t="shared" si="3"/>
        <v>44.486749573296528</v>
      </c>
      <c r="O30" s="178">
        <f t="shared" si="4"/>
        <v>17.576848679699179</v>
      </c>
      <c r="P30" s="179">
        <f t="shared" si="5"/>
        <v>169.14698464066277</v>
      </c>
      <c r="Q30" s="94">
        <v>156727007835</v>
      </c>
      <c r="R30" s="94">
        <v>168764403326</v>
      </c>
      <c r="S30" s="140">
        <f t="shared" si="6"/>
        <v>-12037395491</v>
      </c>
      <c r="T30" s="94">
        <v>358697326131</v>
      </c>
      <c r="U30" s="94">
        <v>247090984313</v>
      </c>
      <c r="V30" s="135">
        <f t="shared" si="7"/>
        <v>1.4516811575634982</v>
      </c>
    </row>
    <row r="31" spans="2:22" ht="31.5">
      <c r="B31" s="74" t="s">
        <v>42</v>
      </c>
      <c r="C31" s="94">
        <v>78305871</v>
      </c>
      <c r="D31" s="94">
        <v>71579533</v>
      </c>
      <c r="E31" s="94">
        <v>113720564</v>
      </c>
      <c r="F31" s="124">
        <f t="shared" si="0"/>
        <v>5.9147947947215597E-2</v>
      </c>
      <c r="G31" s="94">
        <v>30636588</v>
      </c>
      <c r="H31" s="94">
        <v>132218575</v>
      </c>
      <c r="I31" s="95">
        <v>360</v>
      </c>
      <c r="J31" s="106">
        <f t="shared" si="1"/>
        <v>83.416204417571436</v>
      </c>
      <c r="K31" s="177">
        <f t="shared" si="2"/>
        <v>76251201</v>
      </c>
      <c r="L31" s="94">
        <v>38384107</v>
      </c>
      <c r="M31" s="94">
        <v>137363590</v>
      </c>
      <c r="N31" s="108">
        <f t="shared" si="3"/>
        <v>100.59636996965499</v>
      </c>
      <c r="O31" s="178">
        <f t="shared" si="4"/>
        <v>23.309353780706626</v>
      </c>
      <c r="P31" s="179">
        <f t="shared" si="5"/>
        <v>160.70322060651981</v>
      </c>
      <c r="Q31" s="94">
        <v>30157960</v>
      </c>
      <c r="R31" s="94">
        <v>30157960</v>
      </c>
      <c r="S31" s="140">
        <f t="shared" si="6"/>
        <v>0</v>
      </c>
      <c r="T31" s="94">
        <v>76251201</v>
      </c>
      <c r="U31" s="94">
        <v>34122330</v>
      </c>
      <c r="V31" s="135">
        <f t="shared" si="7"/>
        <v>2.2346422709117459</v>
      </c>
    </row>
    <row r="32" spans="2:22" ht="31.5">
      <c r="B32" s="74" t="s">
        <v>43</v>
      </c>
      <c r="C32" s="94">
        <v>667260528237</v>
      </c>
      <c r="D32" s="94">
        <v>777986766746</v>
      </c>
      <c r="E32" s="94">
        <v>948682681142</v>
      </c>
      <c r="F32" s="124">
        <f t="shared" si="0"/>
        <v>-0.11671577937494398</v>
      </c>
      <c r="G32" s="94">
        <v>322718416935</v>
      </c>
      <c r="H32" s="94">
        <v>1180740709376</v>
      </c>
      <c r="I32" s="95">
        <v>360</v>
      </c>
      <c r="J32" s="106">
        <f t="shared" si="1"/>
        <v>98.394701879973539</v>
      </c>
      <c r="K32" s="177">
        <f t="shared" si="2"/>
        <v>787055068790</v>
      </c>
      <c r="L32" s="94">
        <f>25397722200+258695990791</f>
        <v>284093712991</v>
      </c>
      <c r="M32" s="94">
        <v>1251193634272</v>
      </c>
      <c r="N32" s="108">
        <f t="shared" si="3"/>
        <v>81.740934316907229</v>
      </c>
      <c r="O32" s="178">
        <f t="shared" si="4"/>
        <v>22.34131906528496</v>
      </c>
      <c r="P32" s="179">
        <f t="shared" si="5"/>
        <v>157.79431713159582</v>
      </c>
      <c r="Q32" s="94">
        <v>281422152905</v>
      </c>
      <c r="R32" s="94">
        <v>306478446719</v>
      </c>
      <c r="S32" s="140">
        <f t="shared" si="6"/>
        <v>-25056293814</v>
      </c>
      <c r="T32" s="94">
        <f>777986766746+9068302044</f>
        <v>787055068790</v>
      </c>
      <c r="U32" s="94">
        <v>161627612352</v>
      </c>
      <c r="V32" s="135">
        <f t="shared" si="7"/>
        <v>4.8695582229842973</v>
      </c>
    </row>
    <row r="33" spans="2:22" ht="31.5">
      <c r="B33" s="74" t="s">
        <v>44</v>
      </c>
      <c r="C33" s="94">
        <v>2993437</v>
      </c>
      <c r="D33" s="94">
        <v>2328260</v>
      </c>
      <c r="E33" s="94">
        <v>5448447</v>
      </c>
      <c r="F33" s="124">
        <f t="shared" si="0"/>
        <v>0.12208561448794492</v>
      </c>
      <c r="G33" s="94">
        <v>2061815</v>
      </c>
      <c r="H33" s="94">
        <v>2810585</v>
      </c>
      <c r="I33" s="95">
        <v>360</v>
      </c>
      <c r="J33" s="106">
        <f t="shared" si="1"/>
        <v>264.09213740199993</v>
      </c>
      <c r="K33" s="177">
        <f t="shared" si="2"/>
        <v>2894972</v>
      </c>
      <c r="L33" s="94">
        <f>658451+5864</f>
        <v>664315</v>
      </c>
      <c r="M33" s="94">
        <v>3583541</v>
      </c>
      <c r="N33" s="108">
        <f t="shared" si="3"/>
        <v>66.73661610122501</v>
      </c>
      <c r="O33" s="178">
        <f t="shared" si="4"/>
        <v>48.957265525414542</v>
      </c>
      <c r="P33" s="179">
        <f t="shared" si="5"/>
        <v>281.87148797781043</v>
      </c>
      <c r="Q33" s="94">
        <v>2455010</v>
      </c>
      <c r="R33" s="94">
        <v>1863468</v>
      </c>
      <c r="S33" s="140">
        <f t="shared" si="6"/>
        <v>591542</v>
      </c>
      <c r="T33" s="94">
        <v>2894972</v>
      </c>
      <c r="U33" s="94">
        <v>2553475</v>
      </c>
      <c r="V33" s="135">
        <f t="shared" si="7"/>
        <v>1.1337381411605754</v>
      </c>
    </row>
    <row r="34" spans="2:22" ht="31.5">
      <c r="B34" s="74" t="s">
        <v>45</v>
      </c>
      <c r="C34" s="94">
        <v>96281950</v>
      </c>
      <c r="D34" s="144">
        <v>108507694</v>
      </c>
      <c r="E34" s="94">
        <v>130737763</v>
      </c>
      <c r="F34" s="124">
        <f t="shared" si="0"/>
        <v>-9.3513486229682544E-2</v>
      </c>
      <c r="G34" s="94">
        <v>17934637</v>
      </c>
      <c r="H34" s="94">
        <v>499483774</v>
      </c>
      <c r="I34" s="95">
        <v>360</v>
      </c>
      <c r="J34" s="106">
        <f t="shared" si="1"/>
        <v>12.926284408189803</v>
      </c>
      <c r="K34" s="177">
        <f t="shared" si="2"/>
        <v>109030696</v>
      </c>
      <c r="L34" s="94">
        <f>20435420+31271723</f>
        <v>51707143</v>
      </c>
      <c r="M34" s="94">
        <v>516633633</v>
      </c>
      <c r="N34" s="108">
        <f t="shared" si="3"/>
        <v>36.03050651562981</v>
      </c>
      <c r="O34" s="178">
        <f t="shared" si="4"/>
        <v>1.293723818311574</v>
      </c>
      <c r="P34" s="179">
        <f t="shared" si="5"/>
        <v>47.663067105508034</v>
      </c>
      <c r="Q34" s="144">
        <v>34455813</v>
      </c>
      <c r="R34" s="144">
        <v>52087988</v>
      </c>
      <c r="S34" s="140">
        <f t="shared" si="6"/>
        <v>-17632175</v>
      </c>
      <c r="T34" s="94">
        <v>109030696</v>
      </c>
      <c r="U34" s="144">
        <v>21707067</v>
      </c>
      <c r="V34" s="135">
        <f t="shared" si="7"/>
        <v>5.0228202640181649</v>
      </c>
    </row>
    <row r="35" spans="2:22" ht="15.75">
      <c r="B35" s="73" t="s">
        <v>46</v>
      </c>
      <c r="C35" s="94"/>
      <c r="D35" s="94"/>
      <c r="E35" s="94"/>
      <c r="F35" s="124" t="e">
        <f t="shared" si="0"/>
        <v>#DIV/0!</v>
      </c>
      <c r="G35" s="94"/>
      <c r="H35" s="94"/>
      <c r="I35" s="94"/>
      <c r="J35" s="106" t="e">
        <f t="shared" si="1"/>
        <v>#DIV/0!</v>
      </c>
      <c r="K35" s="177">
        <f t="shared" si="2"/>
        <v>0</v>
      </c>
      <c r="L35" s="94"/>
      <c r="M35" s="94"/>
      <c r="N35" s="108" t="e">
        <f t="shared" si="3"/>
        <v>#DIV/0!</v>
      </c>
      <c r="O35" s="178" t="e">
        <f t="shared" si="4"/>
        <v>#DIV/0!</v>
      </c>
      <c r="P35" s="179" t="e">
        <f t="shared" si="5"/>
        <v>#DIV/0!</v>
      </c>
      <c r="Q35" s="94"/>
      <c r="R35" s="94"/>
      <c r="S35" s="140">
        <f t="shared" si="6"/>
        <v>0</v>
      </c>
      <c r="T35" s="94"/>
      <c r="U35" s="94"/>
      <c r="V35" s="135" t="e">
        <f t="shared" si="7"/>
        <v>#DIV/0!</v>
      </c>
    </row>
    <row r="36" spans="2:22" ht="31.5">
      <c r="B36" s="74" t="s">
        <v>47</v>
      </c>
      <c r="C36" s="94">
        <v>448467</v>
      </c>
      <c r="D36" s="94">
        <v>405554</v>
      </c>
      <c r="E36" s="94">
        <v>2253084</v>
      </c>
      <c r="F36" s="124">
        <f t="shared" si="0"/>
        <v>1.9046338263464656E-2</v>
      </c>
      <c r="G36" s="94">
        <v>183332</v>
      </c>
      <c r="H36" s="94">
        <v>1267026</v>
      </c>
      <c r="I36" s="95">
        <v>360</v>
      </c>
      <c r="J36" s="106">
        <f t="shared" si="1"/>
        <v>52.090107069626036</v>
      </c>
      <c r="K36" s="177">
        <f t="shared" si="2"/>
        <v>1057175</v>
      </c>
      <c r="L36" s="94">
        <v>52944</v>
      </c>
      <c r="M36" s="94">
        <v>1406139</v>
      </c>
      <c r="N36" s="108">
        <f t="shared" si="3"/>
        <v>13.554733920330778</v>
      </c>
      <c r="O36" s="178">
        <f t="shared" si="4"/>
        <v>1.961298725584228</v>
      </c>
      <c r="P36" s="179">
        <f t="shared" si="5"/>
        <v>63.683542264372591</v>
      </c>
      <c r="Q36" s="94">
        <v>1804617</v>
      </c>
      <c r="R36" s="94">
        <v>1630848</v>
      </c>
      <c r="S36" s="140">
        <f t="shared" si="6"/>
        <v>173769</v>
      </c>
      <c r="T36" s="94">
        <v>1057175</v>
      </c>
      <c r="U36" s="94">
        <v>1195909</v>
      </c>
      <c r="V36" s="135">
        <f t="shared" si="7"/>
        <v>0.88399284560949032</v>
      </c>
    </row>
    <row r="37" spans="2:22" ht="31.5">
      <c r="B37" s="74" t="s">
        <v>48</v>
      </c>
      <c r="C37" s="94">
        <v>1267026</v>
      </c>
      <c r="D37" s="182">
        <v>377753</v>
      </c>
      <c r="E37" s="182">
        <v>1862386</v>
      </c>
      <c r="F37" s="124">
        <f t="shared" si="0"/>
        <v>0.47749123973225743</v>
      </c>
      <c r="G37" s="183">
        <v>1784</v>
      </c>
      <c r="H37" s="184">
        <v>1231844</v>
      </c>
      <c r="I37" s="95">
        <v>360</v>
      </c>
      <c r="J37" s="106">
        <f t="shared" si="1"/>
        <v>0.5213647182597797</v>
      </c>
      <c r="K37" s="177">
        <f t="shared" si="2"/>
        <v>97554</v>
      </c>
      <c r="L37" s="94">
        <v>46496</v>
      </c>
      <c r="M37" s="94">
        <v>1377573</v>
      </c>
      <c r="N37" s="108">
        <f t="shared" si="3"/>
        <v>12.150760794527768</v>
      </c>
      <c r="O37" s="178">
        <f t="shared" si="4"/>
        <v>1.7597161050780408E-2</v>
      </c>
      <c r="P37" s="179">
        <f t="shared" si="5"/>
        <v>12.654528351736767</v>
      </c>
      <c r="Q37" s="145">
        <v>1445752</v>
      </c>
      <c r="R37" s="145">
        <v>1257077</v>
      </c>
      <c r="S37" s="140">
        <f t="shared" si="6"/>
        <v>188675</v>
      </c>
      <c r="T37" s="185">
        <v>97554</v>
      </c>
      <c r="U37" s="185">
        <v>886846</v>
      </c>
      <c r="V37" s="135">
        <f t="shared" si="7"/>
        <v>0.1100010599359979</v>
      </c>
    </row>
    <row r="38" spans="2:22" ht="31.5">
      <c r="B38" s="74" t="s">
        <v>49</v>
      </c>
      <c r="C38" s="94">
        <v>185099466179</v>
      </c>
      <c r="D38" s="94">
        <v>13865122841</v>
      </c>
      <c r="E38" s="94">
        <v>274483110371</v>
      </c>
      <c r="F38" s="124">
        <f t="shared" si="0"/>
        <v>0.62384291370989742</v>
      </c>
      <c r="G38" s="94">
        <v>36630468186</v>
      </c>
      <c r="H38" s="94">
        <v>91681654471</v>
      </c>
      <c r="I38" s="95">
        <v>360</v>
      </c>
      <c r="J38" s="106">
        <f t="shared" si="1"/>
        <v>143.83432130504576</v>
      </c>
      <c r="K38" s="177">
        <f t="shared" si="2"/>
        <v>33187031327</v>
      </c>
      <c r="L38" s="94">
        <v>13617649620</v>
      </c>
      <c r="M38" s="94">
        <v>118475319120</v>
      </c>
      <c r="N38" s="108">
        <f t="shared" si="3"/>
        <v>41.378693044367807</v>
      </c>
      <c r="O38" s="178">
        <f t="shared" si="4"/>
        <v>16.532433973684615</v>
      </c>
      <c r="P38" s="179">
        <f t="shared" si="5"/>
        <v>168.68058037572897</v>
      </c>
      <c r="Q38" s="94">
        <v>89383644192</v>
      </c>
      <c r="R38" s="94">
        <v>85845840400</v>
      </c>
      <c r="S38" s="140">
        <f t="shared" si="6"/>
        <v>3537803792</v>
      </c>
      <c r="T38" s="94">
        <v>33187031327</v>
      </c>
      <c r="U38" s="94">
        <v>241296079044</v>
      </c>
      <c r="V38" s="135">
        <f t="shared" si="7"/>
        <v>0.13753655450384833</v>
      </c>
    </row>
    <row r="39" spans="2:22" ht="31.5">
      <c r="B39" s="74" t="s">
        <v>50</v>
      </c>
      <c r="C39" s="94">
        <v>296439331922</v>
      </c>
      <c r="D39" s="94">
        <v>79594446891</v>
      </c>
      <c r="E39" s="94">
        <v>389691595500</v>
      </c>
      <c r="F39" s="124">
        <f t="shared" si="0"/>
        <v>0.55645255770213298</v>
      </c>
      <c r="G39" s="94">
        <v>114682749936</v>
      </c>
      <c r="H39" s="94">
        <v>380173104733</v>
      </c>
      <c r="I39" s="95">
        <v>360</v>
      </c>
      <c r="J39" s="106">
        <f t="shared" si="1"/>
        <v>108.59734542756645</v>
      </c>
      <c r="K39" s="177">
        <f t="shared" si="2"/>
        <v>97730178889</v>
      </c>
      <c r="L39" s="94">
        <v>115286850826</v>
      </c>
      <c r="M39" s="94">
        <v>531537606573</v>
      </c>
      <c r="N39" s="108">
        <f t="shared" si="3"/>
        <v>78.081523835999832</v>
      </c>
      <c r="O39" s="178">
        <f t="shared" si="4"/>
        <v>23.554017265357881</v>
      </c>
      <c r="P39" s="179">
        <f t="shared" si="5"/>
        <v>163.12485199820841</v>
      </c>
      <c r="Q39" s="94">
        <v>105636392761</v>
      </c>
      <c r="R39" s="94">
        <v>115286850826</v>
      </c>
      <c r="S39" s="140">
        <f t="shared" si="6"/>
        <v>-9650458065</v>
      </c>
      <c r="T39" s="94">
        <v>97730178889</v>
      </c>
      <c r="U39" s="94">
        <v>291961416611</v>
      </c>
      <c r="V39" s="135">
        <f t="shared" si="7"/>
        <v>0.33473662384373393</v>
      </c>
    </row>
    <row r="40" spans="2:22" ht="31.5">
      <c r="B40" s="74" t="s">
        <v>51</v>
      </c>
      <c r="C40" s="94">
        <v>278840052923</v>
      </c>
      <c r="D40" s="94">
        <v>440560665313</v>
      </c>
      <c r="E40" s="94">
        <v>1332731163136</v>
      </c>
      <c r="F40" s="124">
        <f t="shared" si="0"/>
        <v>-0.12134526216784881</v>
      </c>
      <c r="G40" s="94">
        <v>68243720187</v>
      </c>
      <c r="H40" s="94">
        <v>398420273529</v>
      </c>
      <c r="I40" s="95">
        <v>360</v>
      </c>
      <c r="J40" s="106">
        <f t="shared" si="1"/>
        <v>61.662874355543494</v>
      </c>
      <c r="K40" s="177">
        <f t="shared" si="2"/>
        <v>1256957157713</v>
      </c>
      <c r="L40" s="94">
        <f>105155292261+4948101963</f>
        <v>110103394224</v>
      </c>
      <c r="M40" s="94">
        <v>395798115446</v>
      </c>
      <c r="N40" s="108">
        <f t="shared" si="3"/>
        <v>100.14504964475464</v>
      </c>
      <c r="O40" s="178">
        <f t="shared" si="4"/>
        <v>17.153421148817142</v>
      </c>
      <c r="P40" s="179">
        <f t="shared" si="5"/>
        <v>144.654502851481</v>
      </c>
      <c r="Q40" s="94">
        <v>1053891110213</v>
      </c>
      <c r="R40" s="94">
        <v>1027335709372</v>
      </c>
      <c r="S40" s="140">
        <f t="shared" si="6"/>
        <v>26555400841</v>
      </c>
      <c r="T40" s="94">
        <v>1256957157713</v>
      </c>
      <c r="U40" s="94">
        <v>75774005423</v>
      </c>
      <c r="V40" s="135">
        <f t="shared" si="7"/>
        <v>16.588236964591957</v>
      </c>
    </row>
    <row r="41" spans="2:22" ht="31.5">
      <c r="B41" s="74" t="s">
        <v>52</v>
      </c>
      <c r="C41" s="94">
        <v>440739212</v>
      </c>
      <c r="D41" s="94">
        <v>203379900</v>
      </c>
      <c r="E41" s="94">
        <v>574073314</v>
      </c>
      <c r="F41" s="124">
        <f t="shared" si="0"/>
        <v>0.41346515542786577</v>
      </c>
      <c r="G41" s="94">
        <v>223054752</v>
      </c>
      <c r="H41" s="94">
        <v>417139227</v>
      </c>
      <c r="I41" s="95">
        <v>360</v>
      </c>
      <c r="J41" s="106">
        <f t="shared" si="1"/>
        <v>192.50098174056404</v>
      </c>
      <c r="K41" s="177">
        <f t="shared" si="2"/>
        <v>233993478</v>
      </c>
      <c r="L41" s="94">
        <f>303000+117032496</f>
        <v>117335496</v>
      </c>
      <c r="M41" s="94">
        <v>531573325</v>
      </c>
      <c r="N41" s="108">
        <f t="shared" si="3"/>
        <v>79.463691222654944</v>
      </c>
      <c r="O41" s="178">
        <f t="shared" si="4"/>
        <v>42.491218258583658</v>
      </c>
      <c r="P41" s="179">
        <f t="shared" si="5"/>
        <v>229.47345470463529</v>
      </c>
      <c r="Q41" s="94">
        <v>133334102</v>
      </c>
      <c r="R41" s="94">
        <v>129057056</v>
      </c>
      <c r="S41" s="140">
        <f t="shared" si="6"/>
        <v>4277046</v>
      </c>
      <c r="T41" s="94">
        <v>233993478</v>
      </c>
      <c r="U41" s="94">
        <v>340079836</v>
      </c>
      <c r="V41" s="135">
        <f t="shared" si="7"/>
        <v>0.68805454846196756</v>
      </c>
    </row>
    <row r="42" spans="2:22" ht="31.5">
      <c r="B42" s="74" t="s">
        <v>53</v>
      </c>
      <c r="C42" s="94">
        <v>107268622816</v>
      </c>
      <c r="D42" s="94">
        <v>11084537386</v>
      </c>
      <c r="E42" s="94">
        <v>147755842523</v>
      </c>
      <c r="F42" s="124">
        <f t="shared" si="0"/>
        <v>0.65096637660895051</v>
      </c>
      <c r="G42" s="94">
        <v>15628806361</v>
      </c>
      <c r="H42" s="94">
        <v>103276421100</v>
      </c>
      <c r="I42" s="95">
        <v>360</v>
      </c>
      <c r="J42" s="106">
        <f t="shared" si="1"/>
        <v>54.478749651017871</v>
      </c>
      <c r="K42" s="177">
        <f t="shared" si="2"/>
        <v>15494757317</v>
      </c>
      <c r="L42" s="94">
        <f>11716172746+14697474769</f>
        <v>26413647515</v>
      </c>
      <c r="M42" s="94">
        <v>136668408270</v>
      </c>
      <c r="N42" s="108">
        <f t="shared" si="3"/>
        <v>69.576526322120756</v>
      </c>
      <c r="O42" s="178">
        <f t="shared" si="4"/>
        <v>10.529005997472977</v>
      </c>
      <c r="P42" s="179">
        <f t="shared" si="5"/>
        <v>113.52626997566566</v>
      </c>
      <c r="Q42" s="94">
        <v>62277443498</v>
      </c>
      <c r="R42" s="94">
        <v>60780716129</v>
      </c>
      <c r="S42" s="140">
        <f t="shared" si="6"/>
        <v>1496727369</v>
      </c>
      <c r="T42" s="94">
        <v>15494757317</v>
      </c>
      <c r="U42" s="94">
        <v>154051308997</v>
      </c>
      <c r="V42" s="135">
        <f t="shared" si="7"/>
        <v>0.10058179588270649</v>
      </c>
    </row>
    <row r="43" spans="2:22" ht="31.5">
      <c r="B43" s="72" t="s">
        <v>54</v>
      </c>
      <c r="C43" s="94"/>
      <c r="D43" s="94"/>
      <c r="E43" s="94"/>
      <c r="F43" s="124" t="e">
        <f t="shared" si="0"/>
        <v>#DIV/0!</v>
      </c>
      <c r="G43" s="94"/>
      <c r="H43" s="94"/>
      <c r="I43" s="186"/>
      <c r="J43" s="106" t="e">
        <f t="shared" si="1"/>
        <v>#DIV/0!</v>
      </c>
      <c r="K43" s="177">
        <f t="shared" si="2"/>
        <v>0</v>
      </c>
      <c r="L43" s="94"/>
      <c r="M43" s="94"/>
      <c r="N43" s="108" t="e">
        <f t="shared" si="3"/>
        <v>#DIV/0!</v>
      </c>
      <c r="O43" s="178" t="e">
        <f t="shared" si="4"/>
        <v>#DIV/0!</v>
      </c>
      <c r="P43" s="179" t="e">
        <f t="shared" si="5"/>
        <v>#DIV/0!</v>
      </c>
      <c r="Q43" s="94"/>
      <c r="R43" s="94"/>
      <c r="S43" s="140">
        <f t="shared" si="6"/>
        <v>0</v>
      </c>
      <c r="T43" s="94"/>
      <c r="U43" s="94"/>
      <c r="V43" s="135" t="e">
        <f t="shared" si="7"/>
        <v>#DIV/0!</v>
      </c>
    </row>
    <row r="44" spans="2:22" ht="31.5">
      <c r="B44" s="76" t="s">
        <v>55</v>
      </c>
      <c r="C44" s="94">
        <v>155732643</v>
      </c>
      <c r="D44" s="143">
        <v>61477639</v>
      </c>
      <c r="E44" s="143">
        <v>222447500</v>
      </c>
      <c r="F44" s="124">
        <f t="shared" si="0"/>
        <v>0.42371797390395488</v>
      </c>
      <c r="G44" s="143">
        <v>91339268</v>
      </c>
      <c r="H44" s="94">
        <v>262509186</v>
      </c>
      <c r="I44" s="95">
        <v>360</v>
      </c>
      <c r="J44" s="106">
        <f t="shared" si="1"/>
        <v>125.26089841290354</v>
      </c>
      <c r="K44" s="177">
        <f t="shared" si="2"/>
        <v>81632548</v>
      </c>
      <c r="L44" s="94">
        <f>26394995+10802879</f>
        <v>37197874</v>
      </c>
      <c r="M44" s="94">
        <v>285420572</v>
      </c>
      <c r="N44" s="108">
        <f t="shared" si="3"/>
        <v>46.917552390021832</v>
      </c>
      <c r="O44" s="178">
        <f t="shared" si="4"/>
        <v>16.324818788079458</v>
      </c>
      <c r="P44" s="179">
        <f t="shared" si="5"/>
        <v>155.85363201484591</v>
      </c>
      <c r="Q44" s="143">
        <v>66714857</v>
      </c>
      <c r="R44" s="143">
        <v>70274025</v>
      </c>
      <c r="S44" s="140">
        <f t="shared" si="6"/>
        <v>-3559168</v>
      </c>
      <c r="T44" s="143">
        <v>81632548</v>
      </c>
      <c r="U44" s="143">
        <v>140814952</v>
      </c>
      <c r="V44" s="135">
        <f t="shared" si="7"/>
        <v>0.57971505753167463</v>
      </c>
    </row>
    <row r="45" spans="2:22" ht="31.5">
      <c r="B45" s="77" t="s">
        <v>56</v>
      </c>
      <c r="C45" s="94"/>
      <c r="D45" s="94"/>
      <c r="E45" s="94"/>
      <c r="F45" s="124" t="e">
        <f t="shared" si="0"/>
        <v>#DIV/0!</v>
      </c>
      <c r="G45" s="94"/>
      <c r="H45" s="94"/>
      <c r="I45" s="94"/>
      <c r="J45" s="106" t="e">
        <f t="shared" si="1"/>
        <v>#DIV/0!</v>
      </c>
      <c r="K45" s="177">
        <f t="shared" si="2"/>
        <v>0</v>
      </c>
      <c r="L45" s="94"/>
      <c r="M45" s="94"/>
      <c r="N45" s="108" t="e">
        <f t="shared" si="3"/>
        <v>#DIV/0!</v>
      </c>
      <c r="O45" s="178" t="e">
        <f t="shared" si="4"/>
        <v>#DIV/0!</v>
      </c>
      <c r="P45" s="179" t="e">
        <f t="shared" si="5"/>
        <v>#DIV/0!</v>
      </c>
      <c r="Q45" s="94"/>
      <c r="R45" s="94"/>
      <c r="S45" s="140">
        <f t="shared" si="6"/>
        <v>0</v>
      </c>
      <c r="T45" s="94"/>
      <c r="U45" s="94"/>
      <c r="V45" s="135" t="e">
        <f t="shared" si="7"/>
        <v>#DIV/0!</v>
      </c>
    </row>
    <row r="46" spans="2:22" ht="31.5">
      <c r="B46" s="74" t="s">
        <v>57</v>
      </c>
      <c r="C46" s="94">
        <v>1015820277</v>
      </c>
      <c r="D46" s="94">
        <v>985625515</v>
      </c>
      <c r="E46" s="94">
        <v>2883143132</v>
      </c>
      <c r="F46" s="124">
        <f t="shared" si="0"/>
        <v>1.0472862642464189E-2</v>
      </c>
      <c r="G46" s="94">
        <v>347086793</v>
      </c>
      <c r="H46" s="94">
        <v>1799004253</v>
      </c>
      <c r="I46" s="95">
        <v>360</v>
      </c>
      <c r="J46" s="106">
        <f t="shared" si="1"/>
        <v>69.455781036444279</v>
      </c>
      <c r="K46" s="177">
        <f t="shared" si="2"/>
        <v>1775577239</v>
      </c>
      <c r="L46" s="94">
        <f>191731+467230554</f>
        <v>467422285</v>
      </c>
      <c r="M46" s="94">
        <v>2017466511</v>
      </c>
      <c r="N46" s="108">
        <f t="shared" si="3"/>
        <v>83.407591492853271</v>
      </c>
      <c r="O46" s="178">
        <f t="shared" si="4"/>
        <v>16.092053920846695</v>
      </c>
      <c r="P46" s="179">
        <f t="shared" si="5"/>
        <v>136.77131860845085</v>
      </c>
      <c r="Q46" s="94">
        <v>1867322855</v>
      </c>
      <c r="R46" s="94">
        <v>1306914416</v>
      </c>
      <c r="S46" s="140">
        <f t="shared" si="6"/>
        <v>560408439</v>
      </c>
      <c r="T46" s="94">
        <v>1775577239</v>
      </c>
      <c r="U46" s="94">
        <v>1107565893</v>
      </c>
      <c r="V46" s="135">
        <f t="shared" si="7"/>
        <v>1.6031346308350072</v>
      </c>
    </row>
    <row r="47" spans="2:22" ht="31.5">
      <c r="B47" s="74" t="s">
        <v>58</v>
      </c>
      <c r="C47" s="94">
        <v>81119626942</v>
      </c>
      <c r="D47" s="94">
        <v>68835516891</v>
      </c>
      <c r="E47" s="94">
        <v>308620387248</v>
      </c>
      <c r="F47" s="124">
        <f t="shared" si="0"/>
        <v>3.9803300619698792E-2</v>
      </c>
      <c r="G47" s="94">
        <v>30089436015</v>
      </c>
      <c r="H47" s="94">
        <v>226502498890</v>
      </c>
      <c r="I47" s="95">
        <v>360</v>
      </c>
      <c r="J47" s="106">
        <f t="shared" si="1"/>
        <v>47.823741541415011</v>
      </c>
      <c r="K47" s="177">
        <f t="shared" si="2"/>
        <v>87059306497</v>
      </c>
      <c r="L47" s="94">
        <v>33735103522</v>
      </c>
      <c r="M47" s="94">
        <v>260667211707</v>
      </c>
      <c r="N47" s="108">
        <f t="shared" si="3"/>
        <v>46.590582637493512</v>
      </c>
      <c r="O47" s="178">
        <f t="shared" si="4"/>
        <v>6.1892666175539652</v>
      </c>
      <c r="P47" s="179">
        <f t="shared" si="5"/>
        <v>88.225057561354546</v>
      </c>
      <c r="Q47" s="94">
        <v>227500760306</v>
      </c>
      <c r="R47" s="94">
        <v>183617268879</v>
      </c>
      <c r="S47" s="140">
        <f t="shared" si="6"/>
        <v>43883491427</v>
      </c>
      <c r="T47" s="94">
        <v>87059306497</v>
      </c>
      <c r="U47" s="94">
        <v>221561080751</v>
      </c>
      <c r="V47" s="135">
        <f t="shared" si="7"/>
        <v>0.39293591727349014</v>
      </c>
    </row>
    <row r="48" spans="2:22" ht="36.75" customHeight="1">
      <c r="B48" s="74" t="s">
        <v>59</v>
      </c>
      <c r="C48" s="94">
        <v>584029401</v>
      </c>
      <c r="D48" s="94">
        <v>511796663</v>
      </c>
      <c r="E48" s="94">
        <v>1820783911</v>
      </c>
      <c r="F48" s="124">
        <f t="shared" si="0"/>
        <v>3.9671230376991176E-2</v>
      </c>
      <c r="G48" s="94">
        <v>202459084</v>
      </c>
      <c r="H48" s="94">
        <v>1052996199</v>
      </c>
      <c r="I48" s="95">
        <v>360</v>
      </c>
      <c r="J48" s="106">
        <f t="shared" si="1"/>
        <v>69.217030706489751</v>
      </c>
      <c r="K48" s="177">
        <f t="shared" si="2"/>
        <v>992869623</v>
      </c>
      <c r="L48" s="94">
        <v>240231544</v>
      </c>
      <c r="M48" s="94">
        <v>1278353442</v>
      </c>
      <c r="N48" s="108">
        <f t="shared" si="3"/>
        <v>67.65214767575992</v>
      </c>
      <c r="O48" s="178">
        <f t="shared" si="4"/>
        <v>13.00744661953626</v>
      </c>
      <c r="P48" s="179">
        <f t="shared" si="5"/>
        <v>123.86173176271342</v>
      </c>
      <c r="Q48" s="94">
        <v>1236754510</v>
      </c>
      <c r="R48" s="94">
        <v>753066012</v>
      </c>
      <c r="S48" s="140">
        <f t="shared" si="6"/>
        <v>483688498</v>
      </c>
      <c r="T48" s="94">
        <v>992869623</v>
      </c>
      <c r="U48" s="94">
        <v>827914288</v>
      </c>
      <c r="V48" s="135">
        <f t="shared" si="7"/>
        <v>1.1992420440025067</v>
      </c>
    </row>
    <row r="49" spans="2:22" ht="31.5">
      <c r="B49" s="74" t="s">
        <v>60</v>
      </c>
      <c r="C49" s="94">
        <v>309534956646</v>
      </c>
      <c r="D49" s="94">
        <v>62393966974</v>
      </c>
      <c r="E49" s="94">
        <v>383936040590</v>
      </c>
      <c r="F49" s="124">
        <f t="shared" si="0"/>
        <v>0.6437035431532161</v>
      </c>
      <c r="G49" s="94">
        <v>112347499544</v>
      </c>
      <c r="H49" s="94">
        <v>576095243965</v>
      </c>
      <c r="I49" s="95">
        <v>360</v>
      </c>
      <c r="J49" s="106">
        <f t="shared" si="1"/>
        <v>70.205578434348595</v>
      </c>
      <c r="K49" s="177">
        <f t="shared" si="2"/>
        <v>73471782127</v>
      </c>
      <c r="L49" s="94">
        <v>125281326453</v>
      </c>
      <c r="M49" s="94">
        <v>677331846043</v>
      </c>
      <c r="N49" s="108">
        <f t="shared" si="3"/>
        <v>66.586677987405267</v>
      </c>
      <c r="O49" s="178">
        <f t="shared" si="4"/>
        <v>12.98543401146526</v>
      </c>
      <c r="P49" s="179">
        <f t="shared" si="5"/>
        <v>123.80682241028859</v>
      </c>
      <c r="Q49" s="94">
        <v>74401083944</v>
      </c>
      <c r="R49" s="94">
        <v>48473434350</v>
      </c>
      <c r="S49" s="140">
        <f t="shared" si="6"/>
        <v>25927649594</v>
      </c>
      <c r="T49" s="94">
        <v>73471782127</v>
      </c>
      <c r="U49" s="94">
        <v>310464258463</v>
      </c>
      <c r="V49" s="135">
        <f t="shared" si="7"/>
        <v>0.23665133787294262</v>
      </c>
    </row>
    <row r="50" spans="2:22" ht="31.5">
      <c r="B50" s="74" t="s">
        <v>61</v>
      </c>
      <c r="C50" s="94">
        <v>897761062659</v>
      </c>
      <c r="D50" s="94">
        <v>395268030783</v>
      </c>
      <c r="E50" s="94">
        <v>1675232685157</v>
      </c>
      <c r="F50" s="124">
        <f t="shared" si="0"/>
        <v>0.29995417133883534</v>
      </c>
      <c r="G50" s="94">
        <v>470012992358</v>
      </c>
      <c r="H50" s="94">
        <v>777015505608</v>
      </c>
      <c r="I50" s="95">
        <v>360</v>
      </c>
      <c r="J50" s="106">
        <f t="shared" si="1"/>
        <v>217.76229177882431</v>
      </c>
      <c r="K50" s="177">
        <f t="shared" si="2"/>
        <v>578352730206</v>
      </c>
      <c r="L50" s="94">
        <f>23181977106+128936275955</f>
        <v>152118253061</v>
      </c>
      <c r="M50" s="94">
        <v>1147838378766</v>
      </c>
      <c r="N50" s="108">
        <f t="shared" si="3"/>
        <v>47.709304824633307</v>
      </c>
      <c r="O50" s="178">
        <f t="shared" si="4"/>
        <v>28.859132104962971</v>
      </c>
      <c r="P50" s="179">
        <f t="shared" si="5"/>
        <v>236.61246449849463</v>
      </c>
      <c r="Q50" s="94">
        <v>777471622498</v>
      </c>
      <c r="R50" s="94">
        <v>531346763965</v>
      </c>
      <c r="S50" s="140">
        <f t="shared" si="6"/>
        <v>246124858533</v>
      </c>
      <c r="T50" s="94">
        <v>578352730206</v>
      </c>
      <c r="U50" s="94">
        <v>1096879954951</v>
      </c>
      <c r="V50" s="135">
        <f t="shared" si="7"/>
        <v>0.52727076248907867</v>
      </c>
    </row>
    <row r="51" spans="2:22" ht="31.5">
      <c r="B51" s="74" t="s">
        <v>62</v>
      </c>
      <c r="C51" s="94">
        <v>82079055</v>
      </c>
      <c r="D51" s="94">
        <v>93454587</v>
      </c>
      <c r="E51" s="94">
        <v>280780071</v>
      </c>
      <c r="F51" s="124">
        <f t="shared" si="0"/>
        <v>-4.051402921683854E-2</v>
      </c>
      <c r="G51" s="94">
        <v>20221113</v>
      </c>
      <c r="H51" s="94">
        <v>162840161</v>
      </c>
      <c r="I51" s="95">
        <v>360</v>
      </c>
      <c r="J51" s="106">
        <f t="shared" si="1"/>
        <v>44.703963907282066</v>
      </c>
      <c r="K51" s="177">
        <f t="shared" si="2"/>
        <v>127579183</v>
      </c>
      <c r="L51" s="94">
        <f>1017638+35812161</f>
        <v>36829799</v>
      </c>
      <c r="M51" s="94">
        <v>200542395</v>
      </c>
      <c r="N51" s="108">
        <f t="shared" si="3"/>
        <v>66.114337768829373</v>
      </c>
      <c r="O51" s="178">
        <f t="shared" si="4"/>
        <v>8.2099249149211211</v>
      </c>
      <c r="P51" s="179">
        <f t="shared" si="5"/>
        <v>102.60837676119033</v>
      </c>
      <c r="Q51" s="94">
        <v>198701016</v>
      </c>
      <c r="R51" s="94">
        <v>193113125</v>
      </c>
      <c r="S51" s="140">
        <f t="shared" si="6"/>
        <v>5587891</v>
      </c>
      <c r="T51" s="94">
        <v>127579183</v>
      </c>
      <c r="U51" s="94">
        <v>153200888</v>
      </c>
      <c r="V51" s="135">
        <f t="shared" si="7"/>
        <v>0.83275746417344521</v>
      </c>
    </row>
    <row r="52" spans="2:22" ht="31.5">
      <c r="B52" s="74" t="s">
        <v>63</v>
      </c>
      <c r="C52" s="94">
        <v>104596</v>
      </c>
      <c r="D52" s="94">
        <v>118558</v>
      </c>
      <c r="E52" s="94">
        <v>233131</v>
      </c>
      <c r="F52" s="124">
        <f t="shared" si="0"/>
        <v>-5.9889075240958947E-2</v>
      </c>
      <c r="G52" s="94">
        <v>5784</v>
      </c>
      <c r="H52" s="94">
        <v>439514</v>
      </c>
      <c r="I52" s="95">
        <v>360</v>
      </c>
      <c r="J52" s="106">
        <f t="shared" si="1"/>
        <v>4.7375965270730855</v>
      </c>
      <c r="K52" s="177">
        <f t="shared" si="2"/>
        <v>137043</v>
      </c>
      <c r="L52" s="94">
        <f>19284+10411</f>
        <v>29695</v>
      </c>
      <c r="M52" s="94">
        <v>457333</v>
      </c>
      <c r="N52" s="108">
        <f t="shared" si="3"/>
        <v>23.375089923534929</v>
      </c>
      <c r="O52" s="178">
        <f t="shared" si="4"/>
        <v>0.30761595789377821</v>
      </c>
      <c r="P52" s="179">
        <f t="shared" si="5"/>
        <v>27.80507049271424</v>
      </c>
      <c r="Q52" s="94">
        <v>128535</v>
      </c>
      <c r="R52" s="94">
        <v>14042</v>
      </c>
      <c r="S52" s="140">
        <f t="shared" si="6"/>
        <v>114493</v>
      </c>
      <c r="T52" s="94">
        <v>137043</v>
      </c>
      <c r="U52" s="94">
        <v>96088</v>
      </c>
      <c r="V52" s="135">
        <f t="shared" si="7"/>
        <v>1.4262238781117309</v>
      </c>
    </row>
    <row r="53" spans="2:22" ht="31.5">
      <c r="B53" s="74" t="s">
        <v>64</v>
      </c>
      <c r="C53" s="94">
        <v>1137766718031</v>
      </c>
      <c r="D53" s="94">
        <v>869536723928</v>
      </c>
      <c r="E53" s="94">
        <v>3357359499954</v>
      </c>
      <c r="F53" s="124">
        <f t="shared" si="0"/>
        <v>7.9893140459541226E-2</v>
      </c>
      <c r="G53" s="94">
        <v>581817476600</v>
      </c>
      <c r="H53" s="94">
        <v>2245445182911</v>
      </c>
      <c r="I53" s="95">
        <v>360</v>
      </c>
      <c r="J53" s="106">
        <f t="shared" si="1"/>
        <v>93.279628097829132</v>
      </c>
      <c r="K53" s="177">
        <f t="shared" si="2"/>
        <v>1400438809900</v>
      </c>
      <c r="L53" s="94">
        <f>415787721442+12293694564</f>
        <v>428081416006</v>
      </c>
      <c r="M53" s="94">
        <v>2457349444991</v>
      </c>
      <c r="N53" s="108">
        <f t="shared" si="3"/>
        <v>62.713632396195251</v>
      </c>
      <c r="O53" s="178">
        <f t="shared" si="4"/>
        <v>16.249734184947393</v>
      </c>
      <c r="P53" s="179">
        <f t="shared" si="5"/>
        <v>139.743526309077</v>
      </c>
      <c r="Q53" s="94">
        <v>2219592781923</v>
      </c>
      <c r="R53" s="94">
        <v>2078992580457</v>
      </c>
      <c r="S53" s="140">
        <f t="shared" si="6"/>
        <v>140600201466</v>
      </c>
      <c r="T53" s="94">
        <v>1400438809900</v>
      </c>
      <c r="U53" s="94">
        <v>1956920690054</v>
      </c>
      <c r="V53" s="135">
        <f t="shared" si="7"/>
        <v>0.71563391251249731</v>
      </c>
    </row>
    <row r="54" spans="2:22" ht="46.5" customHeight="1">
      <c r="B54" s="74" t="s">
        <v>65</v>
      </c>
      <c r="C54" s="94">
        <v>306262234760</v>
      </c>
      <c r="D54" s="94">
        <v>69980726732</v>
      </c>
      <c r="E54" s="94">
        <v>434210376664</v>
      </c>
      <c r="F54" s="124">
        <f t="shared" si="0"/>
        <v>0.54416366058160559</v>
      </c>
      <c r="G54" s="94">
        <v>109777323506</v>
      </c>
      <c r="H54" s="94">
        <v>404525719160</v>
      </c>
      <c r="I54" s="95">
        <v>360</v>
      </c>
      <c r="J54" s="106">
        <f t="shared" si="1"/>
        <v>97.694249315527244</v>
      </c>
      <c r="K54" s="177">
        <f t="shared" si="2"/>
        <v>84008353472</v>
      </c>
      <c r="L54" s="94">
        <v>81775777452</v>
      </c>
      <c r="M54" s="94">
        <v>476383633793</v>
      </c>
      <c r="N54" s="108">
        <f t="shared" si="3"/>
        <v>61.797420806257307</v>
      </c>
      <c r="O54" s="178">
        <f t="shared" si="4"/>
        <v>16.770146209175145</v>
      </c>
      <c r="P54" s="179">
        <f t="shared" si="5"/>
        <v>142.7215239126094</v>
      </c>
      <c r="Q54" s="94">
        <v>127948141904</v>
      </c>
      <c r="R54" s="94">
        <v>131099309010</v>
      </c>
      <c r="S54" s="140">
        <f t="shared" si="6"/>
        <v>-3151167106</v>
      </c>
      <c r="T54" s="94">
        <v>84008353472</v>
      </c>
      <c r="U54" s="94">
        <v>350202023192</v>
      </c>
      <c r="V54" s="135">
        <f t="shared" si="7"/>
        <v>0.23988540302047884</v>
      </c>
    </row>
    <row r="55" spans="2:22" ht="31.5">
      <c r="B55" s="74" t="s">
        <v>66</v>
      </c>
      <c r="C55" s="94">
        <v>104222023392</v>
      </c>
      <c r="D55" s="94">
        <v>85097667841</v>
      </c>
      <c r="E55" s="94">
        <v>279189768587</v>
      </c>
      <c r="F55" s="124">
        <f t="shared" si="0"/>
        <v>6.8499485664498996E-2</v>
      </c>
      <c r="G55" s="94">
        <v>49039022667</v>
      </c>
      <c r="H55" s="94">
        <v>254905336988</v>
      </c>
      <c r="I55" s="95">
        <v>360</v>
      </c>
      <c r="J55" s="106">
        <f t="shared" si="1"/>
        <v>69.257271615898276</v>
      </c>
      <c r="K55" s="177">
        <f t="shared" si="2"/>
        <v>128790247858</v>
      </c>
      <c r="L55" s="94">
        <f>1283700000+43332078193</f>
        <v>44615778193</v>
      </c>
      <c r="M55" s="94">
        <v>277402566627</v>
      </c>
      <c r="N55" s="108">
        <f t="shared" si="3"/>
        <v>57.900257898755477</v>
      </c>
      <c r="O55" s="178">
        <f t="shared" si="4"/>
        <v>11.13892746645741</v>
      </c>
      <c r="P55" s="179">
        <f t="shared" si="5"/>
        <v>116.01860204819636</v>
      </c>
      <c r="Q55" s="94">
        <v>174967745195</v>
      </c>
      <c r="R55" s="94">
        <v>190391887025</v>
      </c>
      <c r="S55" s="140">
        <f t="shared" si="6"/>
        <v>-15424141830</v>
      </c>
      <c r="T55" s="94">
        <v>128790247858</v>
      </c>
      <c r="U55" s="94">
        <v>150399520729</v>
      </c>
      <c r="V55" s="135">
        <f t="shared" si="7"/>
        <v>0.85632086614200686</v>
      </c>
    </row>
    <row r="56" spans="2:22" ht="15.75">
      <c r="B56" s="73" t="s">
        <v>67</v>
      </c>
      <c r="C56" s="94"/>
      <c r="D56" s="94"/>
      <c r="E56" s="94"/>
      <c r="F56" s="124" t="e">
        <f t="shared" si="0"/>
        <v>#DIV/0!</v>
      </c>
      <c r="G56" s="94"/>
      <c r="H56" s="94"/>
      <c r="I56" s="95">
        <v>360</v>
      </c>
      <c r="J56" s="106" t="e">
        <f t="shared" si="1"/>
        <v>#DIV/0!</v>
      </c>
      <c r="K56" s="177">
        <f t="shared" si="2"/>
        <v>0</v>
      </c>
      <c r="L56" s="94"/>
      <c r="M56" s="94"/>
      <c r="N56" s="108" t="e">
        <f t="shared" si="3"/>
        <v>#DIV/0!</v>
      </c>
      <c r="O56" s="178" t="e">
        <f t="shared" si="4"/>
        <v>#DIV/0!</v>
      </c>
      <c r="P56" s="179" t="e">
        <f t="shared" si="5"/>
        <v>#DIV/0!</v>
      </c>
      <c r="Q56" s="94"/>
      <c r="R56" s="94"/>
      <c r="S56" s="140">
        <f t="shared" si="6"/>
        <v>0</v>
      </c>
      <c r="T56" s="94"/>
      <c r="U56" s="94"/>
      <c r="V56" s="135" t="e">
        <f t="shared" si="7"/>
        <v>#DIV/0!</v>
      </c>
    </row>
    <row r="57" spans="2:22" ht="31.5">
      <c r="B57" s="74" t="s">
        <v>68</v>
      </c>
      <c r="C57" s="94">
        <v>12013294</v>
      </c>
      <c r="D57" s="94">
        <v>5703842</v>
      </c>
      <c r="E57" s="94">
        <v>20841795</v>
      </c>
      <c r="F57" s="124">
        <f t="shared" si="0"/>
        <v>0.30273073888309526</v>
      </c>
      <c r="G57" s="94">
        <v>5454001</v>
      </c>
      <c r="H57" s="94">
        <v>25016020</v>
      </c>
      <c r="I57" s="95">
        <v>360</v>
      </c>
      <c r="J57" s="106">
        <f t="shared" si="1"/>
        <v>78.487319725519896</v>
      </c>
      <c r="K57" s="177">
        <f t="shared" si="2"/>
        <v>12123488</v>
      </c>
      <c r="L57" s="94">
        <f>2709134+289173</f>
        <v>2998307</v>
      </c>
      <c r="M57" s="94">
        <v>30107727</v>
      </c>
      <c r="N57" s="108">
        <f t="shared" si="3"/>
        <v>35.850946835010163</v>
      </c>
      <c r="O57" s="178">
        <f t="shared" si="4"/>
        <v>7.8162353519501622</v>
      </c>
      <c r="P57" s="179">
        <f t="shared" si="5"/>
        <v>106.5220312085799</v>
      </c>
      <c r="Q57" s="94">
        <v>12671621</v>
      </c>
      <c r="R57" s="94">
        <v>10832125</v>
      </c>
      <c r="S57" s="140">
        <f t="shared" si="6"/>
        <v>1839496</v>
      </c>
      <c r="T57" s="94">
        <v>12123488</v>
      </c>
      <c r="U57" s="94">
        <v>12561427</v>
      </c>
      <c r="V57" s="135">
        <f t="shared" si="7"/>
        <v>0.96513620626064223</v>
      </c>
    </row>
    <row r="58" spans="2:22" ht="31.5">
      <c r="B58" s="74" t="s">
        <v>69</v>
      </c>
      <c r="C58" s="94">
        <v>9604154</v>
      </c>
      <c r="D58" s="94">
        <v>5352670</v>
      </c>
      <c r="E58" s="94">
        <v>17159466</v>
      </c>
      <c r="F58" s="124">
        <f t="shared" si="0"/>
        <v>0.24776318796866989</v>
      </c>
      <c r="G58" s="94">
        <v>5854975</v>
      </c>
      <c r="H58" s="94">
        <v>21029912</v>
      </c>
      <c r="I58" s="95">
        <v>360</v>
      </c>
      <c r="J58" s="106">
        <f t="shared" si="1"/>
        <v>100.22823680859911</v>
      </c>
      <c r="K58" s="177">
        <f t="shared" si="2"/>
        <v>11049774</v>
      </c>
      <c r="L58" s="94">
        <f>47653+1152022</f>
        <v>1199675</v>
      </c>
      <c r="M58" s="94">
        <v>25022913</v>
      </c>
      <c r="N58" s="108">
        <f t="shared" si="3"/>
        <v>17.2595013218485</v>
      </c>
      <c r="O58" s="178">
        <f t="shared" si="4"/>
        <v>4.8052482935682246</v>
      </c>
      <c r="P58" s="179">
        <f t="shared" si="5"/>
        <v>112.68248983687938</v>
      </c>
      <c r="Q58" s="94">
        <v>7555312</v>
      </c>
      <c r="R58" s="94">
        <v>7049641</v>
      </c>
      <c r="S58" s="140">
        <f t="shared" si="6"/>
        <v>505671</v>
      </c>
      <c r="T58" s="94">
        <v>11049774</v>
      </c>
      <c r="U58" s="94">
        <v>6109692</v>
      </c>
      <c r="V58" s="135">
        <f t="shared" si="7"/>
        <v>1.8085648179973721</v>
      </c>
    </row>
    <row r="59" spans="2:22" ht="31.5">
      <c r="B59" s="74" t="s">
        <v>70</v>
      </c>
      <c r="C59" s="94">
        <v>2027927921</v>
      </c>
      <c r="D59" s="94">
        <v>1520801969</v>
      </c>
      <c r="E59" s="94">
        <v>3962068064</v>
      </c>
      <c r="F59" s="124">
        <f t="shared" si="0"/>
        <v>0.12799526505055012</v>
      </c>
      <c r="G59" s="94">
        <v>551010268</v>
      </c>
      <c r="H59" s="94">
        <v>4235099164</v>
      </c>
      <c r="I59" s="95">
        <v>360</v>
      </c>
      <c r="J59" s="106">
        <f t="shared" si="1"/>
        <v>46.838028768291672</v>
      </c>
      <c r="K59" s="177">
        <f t="shared" si="2"/>
        <v>2413482767</v>
      </c>
      <c r="L59" s="94">
        <f>372376556+68442752</f>
        <v>440819308</v>
      </c>
      <c r="M59" s="94">
        <v>4775014772</v>
      </c>
      <c r="N59" s="108">
        <f t="shared" si="3"/>
        <v>33.234441872424007</v>
      </c>
      <c r="O59" s="178">
        <f t="shared" si="4"/>
        <v>4.323988179218647</v>
      </c>
      <c r="P59" s="179">
        <f t="shared" si="5"/>
        <v>75.748482461497034</v>
      </c>
      <c r="Q59" s="94">
        <v>1934140143</v>
      </c>
      <c r="R59" s="94">
        <v>1655012167</v>
      </c>
      <c r="S59" s="140">
        <f t="shared" si="6"/>
        <v>279127976</v>
      </c>
      <c r="T59" s="94">
        <v>2413482767</v>
      </c>
      <c r="U59" s="94">
        <v>1548585297</v>
      </c>
      <c r="V59" s="135">
        <f t="shared" si="7"/>
        <v>1.5585081245931525</v>
      </c>
    </row>
    <row r="60" spans="2:22" ht="31.5">
      <c r="B60" s="74" t="s">
        <v>71</v>
      </c>
      <c r="C60" s="146">
        <v>1145162929058</v>
      </c>
      <c r="D60" s="146">
        <v>1046536150971</v>
      </c>
      <c r="E60" s="146">
        <v>2246770166899</v>
      </c>
      <c r="F60" s="124">
        <f t="shared" si="0"/>
        <v>4.3897137117111101E-2</v>
      </c>
      <c r="G60" s="146">
        <v>373941409810</v>
      </c>
      <c r="H60" s="146">
        <v>1928946147173</v>
      </c>
      <c r="I60" s="95">
        <v>360</v>
      </c>
      <c r="J60" s="106">
        <f t="shared" si="1"/>
        <v>69.788836629209698</v>
      </c>
      <c r="K60" s="177">
        <f t="shared" si="2"/>
        <v>1512527888605</v>
      </c>
      <c r="L60" s="94">
        <f>251433610755+418601435</f>
        <v>251852212190</v>
      </c>
      <c r="M60" s="94">
        <v>2113148210101</v>
      </c>
      <c r="N60" s="108">
        <f t="shared" si="3"/>
        <v>42.906028055678355</v>
      </c>
      <c r="O60" s="178">
        <f t="shared" si="4"/>
        <v>8.3176716177389576</v>
      </c>
      <c r="P60" s="179">
        <f t="shared" si="5"/>
        <v>104.37719306714909</v>
      </c>
      <c r="Q60" s="146">
        <v>1101607237841</v>
      </c>
      <c r="R60" s="146">
        <v>1079025551098</v>
      </c>
      <c r="S60" s="140">
        <f t="shared" si="6"/>
        <v>22581686743</v>
      </c>
      <c r="T60" s="146">
        <v>1512527888605</v>
      </c>
      <c r="U60" s="146">
        <v>734242278294</v>
      </c>
      <c r="V60" s="135">
        <f t="shared" si="7"/>
        <v>2.0599847398045967</v>
      </c>
    </row>
    <row r="61" spans="2:22" ht="31.5">
      <c r="B61" s="73" t="s">
        <v>72</v>
      </c>
      <c r="C61" s="94"/>
      <c r="D61" s="94"/>
      <c r="E61" s="94"/>
      <c r="F61" s="124" t="e">
        <f t="shared" si="0"/>
        <v>#DIV/0!</v>
      </c>
      <c r="G61" s="94"/>
      <c r="H61" s="94"/>
      <c r="I61" s="94"/>
      <c r="J61" s="106" t="e">
        <f t="shared" si="1"/>
        <v>#DIV/0!</v>
      </c>
      <c r="K61" s="177">
        <f t="shared" si="2"/>
        <v>0</v>
      </c>
      <c r="L61" s="94"/>
      <c r="M61" s="94"/>
      <c r="N61" s="108" t="e">
        <f t="shared" si="3"/>
        <v>#DIV/0!</v>
      </c>
      <c r="O61" s="178" t="e">
        <f t="shared" si="4"/>
        <v>#DIV/0!</v>
      </c>
      <c r="P61" s="179" t="e">
        <f t="shared" si="5"/>
        <v>#DIV/0!</v>
      </c>
      <c r="Q61" s="94"/>
      <c r="R61" s="94"/>
      <c r="S61" s="140">
        <f t="shared" si="6"/>
        <v>0</v>
      </c>
      <c r="T61" s="94"/>
      <c r="U61" s="94"/>
      <c r="V61" s="135" t="e">
        <f t="shared" si="7"/>
        <v>#DIV/0!</v>
      </c>
    </row>
    <row r="62" spans="2:22" ht="36" customHeight="1">
      <c r="B62" s="78" t="s">
        <v>73</v>
      </c>
      <c r="C62" s="94">
        <v>33273006</v>
      </c>
      <c r="D62" s="94">
        <v>37318594</v>
      </c>
      <c r="E62" s="94">
        <v>85015282</v>
      </c>
      <c r="F62" s="124">
        <f t="shared" si="0"/>
        <v>-4.7586597430800737E-2</v>
      </c>
      <c r="G62" s="94">
        <v>22174855</v>
      </c>
      <c r="H62" s="94">
        <v>53160297</v>
      </c>
      <c r="I62" s="95">
        <v>360</v>
      </c>
      <c r="J62" s="106">
        <f t="shared" si="1"/>
        <v>150.16747931261557</v>
      </c>
      <c r="K62" s="177">
        <f t="shared" si="2"/>
        <v>106624740</v>
      </c>
      <c r="L62" s="94">
        <v>3916436</v>
      </c>
      <c r="M62" s="94">
        <v>64284265</v>
      </c>
      <c r="N62" s="108">
        <f t="shared" si="3"/>
        <v>21.932536056840661</v>
      </c>
      <c r="O62" s="178">
        <f t="shared" si="4"/>
        <v>9.1487601516355976</v>
      </c>
      <c r="P62" s="179">
        <f t="shared" si="5"/>
        <v>162.95125521782063</v>
      </c>
      <c r="Q62" s="94">
        <v>51742276</v>
      </c>
      <c r="R62" s="94">
        <v>48780927</v>
      </c>
      <c r="S62" s="140">
        <f t="shared" si="6"/>
        <v>2961349</v>
      </c>
      <c r="T62" s="94">
        <v>106624740</v>
      </c>
      <c r="U62" s="94">
        <v>-21609458</v>
      </c>
      <c r="V62" s="135">
        <f t="shared" si="7"/>
        <v>-4.9341700286976193</v>
      </c>
    </row>
    <row r="63" spans="2:22" ht="31.5">
      <c r="B63" s="79" t="s">
        <v>74</v>
      </c>
      <c r="C63" s="94">
        <v>520354933692</v>
      </c>
      <c r="D63" s="94">
        <v>479533182534</v>
      </c>
      <c r="E63" s="94">
        <v>763168027178</v>
      </c>
      <c r="F63" s="124">
        <f t="shared" si="0"/>
        <v>5.3489860298456669E-2</v>
      </c>
      <c r="G63" s="94">
        <v>338446411134</v>
      </c>
      <c r="H63" s="94">
        <v>693414299003</v>
      </c>
      <c r="I63" s="95">
        <v>360</v>
      </c>
      <c r="J63" s="106">
        <f t="shared" si="1"/>
        <v>175.71127128965202</v>
      </c>
      <c r="K63" s="177">
        <f t="shared" si="2"/>
        <v>672006964821</v>
      </c>
      <c r="L63" s="94">
        <v>38795207550</v>
      </c>
      <c r="M63" s="94">
        <v>852780085776</v>
      </c>
      <c r="N63" s="108">
        <f t="shared" si="3"/>
        <v>16.377346224368242</v>
      </c>
      <c r="O63" s="178">
        <f t="shared" si="4"/>
        <v>7.9935675706514626</v>
      </c>
      <c r="P63" s="179">
        <f t="shared" si="5"/>
        <v>184.09504994336879</v>
      </c>
      <c r="Q63" s="94">
        <v>242813093486</v>
      </c>
      <c r="R63" s="94">
        <v>224637352380</v>
      </c>
      <c r="S63" s="140">
        <f t="shared" si="6"/>
        <v>18175741106</v>
      </c>
      <c r="T63" s="94">
        <v>672006964821</v>
      </c>
      <c r="U63" s="94">
        <v>91161062357</v>
      </c>
      <c r="V63" s="135">
        <f t="shared" si="7"/>
        <v>7.371644729076575</v>
      </c>
    </row>
    <row r="64" spans="2:22" ht="15.75">
      <c r="B64" s="80" t="s">
        <v>75</v>
      </c>
      <c r="C64" s="94"/>
      <c r="D64" s="94"/>
      <c r="E64" s="94"/>
      <c r="F64" s="124" t="e">
        <f t="shared" si="0"/>
        <v>#DIV/0!</v>
      </c>
      <c r="G64" s="94"/>
      <c r="H64" s="94"/>
      <c r="I64" s="94"/>
      <c r="J64" s="106" t="e">
        <f t="shared" si="1"/>
        <v>#DIV/0!</v>
      </c>
      <c r="K64" s="177">
        <f t="shared" si="2"/>
        <v>0</v>
      </c>
      <c r="L64" s="94"/>
      <c r="M64" s="94"/>
      <c r="N64" s="108" t="e">
        <f t="shared" si="3"/>
        <v>#DIV/0!</v>
      </c>
      <c r="O64" s="178" t="e">
        <f t="shared" si="4"/>
        <v>#DIV/0!</v>
      </c>
      <c r="P64" s="179" t="e">
        <f t="shared" si="5"/>
        <v>#DIV/0!</v>
      </c>
      <c r="Q64" s="94"/>
      <c r="R64" s="94"/>
      <c r="S64" s="140">
        <f t="shared" si="6"/>
        <v>0</v>
      </c>
      <c r="T64" s="94"/>
      <c r="U64" s="94"/>
      <c r="V64" s="135" t="e">
        <f t="shared" si="7"/>
        <v>#DIV/0!</v>
      </c>
    </row>
    <row r="65" spans="2:22" ht="31.5">
      <c r="B65" s="74" t="s">
        <v>76</v>
      </c>
      <c r="C65" s="143">
        <v>247659994988</v>
      </c>
      <c r="D65" s="143">
        <v>184214469035</v>
      </c>
      <c r="E65" s="143">
        <v>118350824210</v>
      </c>
      <c r="F65" s="124">
        <f t="shared" si="0"/>
        <v>0.53608013612497685</v>
      </c>
      <c r="G65" s="143">
        <v>79554208566</v>
      </c>
      <c r="H65" s="143">
        <v>435203997016</v>
      </c>
      <c r="I65" s="95">
        <v>360</v>
      </c>
      <c r="J65" s="106">
        <f t="shared" si="1"/>
        <v>65.807104898227962</v>
      </c>
      <c r="K65" s="177">
        <f t="shared" si="2"/>
        <v>195081792385</v>
      </c>
      <c r="L65" s="94">
        <f>4324249444+150478060832</f>
        <v>154802310276</v>
      </c>
      <c r="M65" s="94">
        <v>538363112800</v>
      </c>
      <c r="N65" s="108">
        <f t="shared" si="3"/>
        <v>103.51532334657382</v>
      </c>
      <c r="O65" s="178">
        <f t="shared" si="4"/>
        <v>18.922343727894361</v>
      </c>
      <c r="P65" s="179">
        <f t="shared" si="5"/>
        <v>150.40008451690741</v>
      </c>
      <c r="Q65" s="143">
        <v>118350824210</v>
      </c>
      <c r="R65" s="143">
        <v>106023569046</v>
      </c>
      <c r="S65" s="140">
        <f t="shared" si="6"/>
        <v>12327255164</v>
      </c>
      <c r="T65" s="94">
        <v>195081792385</v>
      </c>
      <c r="U65" s="143">
        <v>170929026813</v>
      </c>
      <c r="V65" s="135">
        <f t="shared" si="7"/>
        <v>1.141302890575886</v>
      </c>
    </row>
    <row r="66" spans="2:22" ht="31.5">
      <c r="B66" s="74" t="s">
        <v>77</v>
      </c>
      <c r="C66" s="94">
        <v>923509679</v>
      </c>
      <c r="D66" s="94">
        <v>751265515</v>
      </c>
      <c r="E66" s="94">
        <v>1997766867</v>
      </c>
      <c r="F66" s="124">
        <f t="shared" si="0"/>
        <v>8.6218350521877984E-2</v>
      </c>
      <c r="G66" s="94">
        <v>126364261</v>
      </c>
      <c r="H66" s="94">
        <v>709191170</v>
      </c>
      <c r="I66" s="95">
        <v>360</v>
      </c>
      <c r="J66" s="106">
        <f t="shared" si="1"/>
        <v>64.145093571878505</v>
      </c>
      <c r="K66" s="177">
        <f t="shared" si="2"/>
        <v>1224872919</v>
      </c>
      <c r="L66" s="94">
        <f>27058990+191912377</f>
        <v>218971367</v>
      </c>
      <c r="M66" s="94">
        <v>1005670547</v>
      </c>
      <c r="N66" s="108">
        <f t="shared" si="3"/>
        <v>78.38520513020454</v>
      </c>
      <c r="O66" s="178">
        <f t="shared" si="4"/>
        <v>13.96673977146628</v>
      </c>
      <c r="P66" s="179">
        <f t="shared" si="5"/>
        <v>128.56355893061675</v>
      </c>
      <c r="Q66" s="94">
        <v>1074257188</v>
      </c>
      <c r="R66" s="94">
        <v>455915715</v>
      </c>
      <c r="S66" s="140">
        <f t="shared" si="6"/>
        <v>618341473</v>
      </c>
      <c r="T66" s="94">
        <v>1224872919</v>
      </c>
      <c r="U66" s="94">
        <v>772893948</v>
      </c>
      <c r="V66" s="135">
        <f t="shared" si="7"/>
        <v>1.5847878252502503</v>
      </c>
    </row>
    <row r="67" spans="2:22" ht="31.5">
      <c r="B67" s="74" t="s">
        <v>78</v>
      </c>
      <c r="C67" s="94">
        <v>1718541456788</v>
      </c>
      <c r="D67" s="94">
        <v>1609497395686</v>
      </c>
      <c r="E67" s="94">
        <v>6993634266969</v>
      </c>
      <c r="F67" s="124">
        <f t="shared" si="0"/>
        <v>1.5591902141210917E-2</v>
      </c>
      <c r="G67" s="94">
        <v>905574220303</v>
      </c>
      <c r="H67" s="94">
        <v>4570043743783</v>
      </c>
      <c r="I67" s="95">
        <v>360</v>
      </c>
      <c r="J67" s="106">
        <f t="shared" si="1"/>
        <v>71.335579610714518</v>
      </c>
      <c r="K67" s="177">
        <f t="shared" si="2"/>
        <v>4548288087745</v>
      </c>
      <c r="L67" s="94">
        <v>680663107867</v>
      </c>
      <c r="M67" s="94">
        <v>4959998929211</v>
      </c>
      <c r="N67" s="108">
        <f t="shared" si="3"/>
        <v>49.402978171831769</v>
      </c>
      <c r="O67" s="178">
        <f t="shared" si="4"/>
        <v>9.7894168955086016</v>
      </c>
      <c r="P67" s="179">
        <f t="shared" si="5"/>
        <v>110.94914088703769</v>
      </c>
      <c r="Q67" s="94">
        <v>5275092810181</v>
      </c>
      <c r="R67" s="94">
        <v>3785377421325</v>
      </c>
      <c r="S67" s="140">
        <f t="shared" si="6"/>
        <v>1489715388856</v>
      </c>
      <c r="T67" s="94">
        <v>4548288087745</v>
      </c>
      <c r="U67" s="94">
        <v>2445346179224</v>
      </c>
      <c r="V67" s="135">
        <f t="shared" si="7"/>
        <v>1.85997717885013</v>
      </c>
    </row>
    <row r="68" spans="2:22" ht="31.5">
      <c r="B68" s="74" t="s">
        <v>79</v>
      </c>
      <c r="C68" s="94">
        <v>2074160</v>
      </c>
      <c r="D68" s="94">
        <v>1479726</v>
      </c>
      <c r="E68" s="94">
        <v>6519273</v>
      </c>
      <c r="F68" s="124">
        <f t="shared" si="0"/>
        <v>9.1181025859785284E-2</v>
      </c>
      <c r="G68" s="94">
        <v>865608</v>
      </c>
      <c r="H68" s="94">
        <v>2224290</v>
      </c>
      <c r="I68" s="95">
        <v>360</v>
      </c>
      <c r="J68" s="106">
        <f t="shared" si="1"/>
        <v>140.09813468567498</v>
      </c>
      <c r="K68" s="177">
        <f t="shared" si="2"/>
        <v>4415317</v>
      </c>
      <c r="L68" s="94">
        <f>158844+455847</f>
        <v>614691</v>
      </c>
      <c r="M68" s="94">
        <v>2834278</v>
      </c>
      <c r="N68" s="108">
        <f t="shared" si="3"/>
        <v>78.075883875893609</v>
      </c>
      <c r="O68" s="178">
        <f t="shared" si="4"/>
        <v>30.384126930411284</v>
      </c>
      <c r="P68" s="179">
        <f t="shared" si="5"/>
        <v>187.78989163115727</v>
      </c>
      <c r="Q68" s="94">
        <v>4964252</v>
      </c>
      <c r="R68" s="94">
        <v>4861767</v>
      </c>
      <c r="S68" s="140">
        <f t="shared" si="6"/>
        <v>102485</v>
      </c>
      <c r="T68" s="94">
        <v>4415317</v>
      </c>
      <c r="U68" s="94">
        <v>2623095</v>
      </c>
      <c r="V68" s="135">
        <f t="shared" si="7"/>
        <v>1.6832470802620569</v>
      </c>
    </row>
    <row r="69" spans="2:22" ht="31.5">
      <c r="B69" s="74" t="s">
        <v>80</v>
      </c>
      <c r="C69" s="147">
        <v>731258691057</v>
      </c>
      <c r="D69" s="147">
        <v>632245408415</v>
      </c>
      <c r="E69" s="187">
        <v>1177093668866</v>
      </c>
      <c r="F69" s="124">
        <f t="shared" si="0"/>
        <v>8.4116740460755665E-2</v>
      </c>
      <c r="G69" s="147">
        <v>278104766709</v>
      </c>
      <c r="H69" s="147">
        <v>1492261925405</v>
      </c>
      <c r="I69" s="95">
        <v>360</v>
      </c>
      <c r="J69" s="106">
        <f t="shared" si="1"/>
        <v>67.091248735082516</v>
      </c>
      <c r="K69" s="177">
        <f t="shared" si="2"/>
        <v>798172379792</v>
      </c>
      <c r="L69" s="147">
        <v>331594826930</v>
      </c>
      <c r="M69" s="94">
        <v>1713946192967</v>
      </c>
      <c r="N69" s="108">
        <f t="shared" si="3"/>
        <v>69.648707867632808</v>
      </c>
      <c r="O69" s="178">
        <f t="shared" si="4"/>
        <v>12.980052176734588</v>
      </c>
      <c r="P69" s="179">
        <f t="shared" si="5"/>
        <v>123.75990442598074</v>
      </c>
      <c r="Q69" s="147">
        <v>445834977809</v>
      </c>
      <c r="R69" s="147">
        <v>404007847300</v>
      </c>
      <c r="S69" s="140">
        <f t="shared" si="6"/>
        <v>41827130509</v>
      </c>
      <c r="T69" s="187">
        <v>798172379792</v>
      </c>
      <c r="U69" s="187">
        <v>378921289074</v>
      </c>
      <c r="V69" s="135">
        <f t="shared" si="7"/>
        <v>2.1064331902347244</v>
      </c>
    </row>
    <row r="70" spans="2:22" ht="47.25">
      <c r="B70" s="74" t="s">
        <v>81</v>
      </c>
      <c r="C70" s="94">
        <v>315600768901</v>
      </c>
      <c r="D70" s="94">
        <v>392667295535</v>
      </c>
      <c r="E70" s="94">
        <v>1455931208462</v>
      </c>
      <c r="F70" s="124">
        <f t="shared" si="0"/>
        <v>-5.2932807667067358E-2</v>
      </c>
      <c r="G70" s="94">
        <v>126054995613</v>
      </c>
      <c r="H70" s="94">
        <v>222036839167</v>
      </c>
      <c r="I70" s="95">
        <v>360</v>
      </c>
      <c r="J70" s="106">
        <f t="shared" si="1"/>
        <v>204.37959120174924</v>
      </c>
      <c r="K70" s="177">
        <f t="shared" si="2"/>
        <v>934677601389</v>
      </c>
      <c r="L70" s="94">
        <v>81084809559</v>
      </c>
      <c r="M70" s="94">
        <v>241207422568</v>
      </c>
      <c r="N70" s="108">
        <f t="shared" si="3"/>
        <v>121.01837966039685</v>
      </c>
      <c r="O70" s="178">
        <f t="shared" si="4"/>
        <v>68.704686008027764</v>
      </c>
      <c r="P70" s="179">
        <f t="shared" si="5"/>
        <v>256.6932848541183</v>
      </c>
      <c r="Q70" s="94">
        <v>1140330439561</v>
      </c>
      <c r="R70" s="94">
        <v>1171056915083</v>
      </c>
      <c r="S70" s="140">
        <f t="shared" si="6"/>
        <v>-30726475522</v>
      </c>
      <c r="T70" s="94">
        <v>934677601389</v>
      </c>
      <c r="U70" s="94">
        <v>521253607073</v>
      </c>
      <c r="V70" s="135">
        <f t="shared" si="7"/>
        <v>1.7931340689180137</v>
      </c>
    </row>
    <row r="71" spans="2:22" ht="31.5">
      <c r="B71" s="74" t="s">
        <v>82</v>
      </c>
      <c r="C71" s="94">
        <v>911831</v>
      </c>
      <c r="D71" s="146">
        <v>58487</v>
      </c>
      <c r="E71" s="146">
        <v>2707895</v>
      </c>
      <c r="F71" s="124">
        <f t="shared" ref="F71:F134" si="8">(C71-D71)/E71</f>
        <v>0.31513186441867208</v>
      </c>
      <c r="G71" s="146">
        <v>30344</v>
      </c>
      <c r="H71" s="146">
        <v>735366</v>
      </c>
      <c r="I71" s="95">
        <v>360</v>
      </c>
      <c r="J71" s="106">
        <f t="shared" ref="J71:J134" si="9">G71/(H71/I71)</f>
        <v>14.854970178115387</v>
      </c>
      <c r="K71" s="177">
        <f t="shared" ref="K71:K134" si="10">T71</f>
        <v>1760686</v>
      </c>
      <c r="L71" s="94">
        <f>77364+590</f>
        <v>77954</v>
      </c>
      <c r="M71" s="94">
        <v>1062531</v>
      </c>
      <c r="N71" s="108">
        <f t="shared" ref="N71:N134" si="11">(I71)/(M71/L71)</f>
        <v>26.411878806359532</v>
      </c>
      <c r="O71" s="178">
        <f t="shared" ref="O71:O134" si="12">(J71)/(I71/N71)</f>
        <v>1.0898546444901909</v>
      </c>
      <c r="P71" s="179">
        <f t="shared" ref="P71:P134" si="13">J71+N71-O71</f>
        <v>40.176994339984731</v>
      </c>
      <c r="Q71" s="146">
        <v>1796064</v>
      </c>
      <c r="R71" s="146">
        <v>1643353</v>
      </c>
      <c r="S71" s="140">
        <f t="shared" ref="S71:S134" si="14">Q71-R71</f>
        <v>152711</v>
      </c>
      <c r="T71" s="146">
        <v>1760686</v>
      </c>
      <c r="U71" s="146">
        <v>947209</v>
      </c>
      <c r="V71" s="135">
        <f t="shared" ref="V71:V134" si="15">T71/U71</f>
        <v>1.8588146860935655</v>
      </c>
    </row>
    <row r="72" spans="2:22" ht="26.25" customHeight="1">
      <c r="B72" s="74" t="s">
        <v>83</v>
      </c>
      <c r="C72" s="94">
        <v>712695266090</v>
      </c>
      <c r="D72" s="94">
        <v>765797690730</v>
      </c>
      <c r="E72" s="94">
        <v>2185464365772</v>
      </c>
      <c r="F72" s="124">
        <f t="shared" si="8"/>
        <v>-2.4298005253104157E-2</v>
      </c>
      <c r="G72" s="94">
        <v>459153960245</v>
      </c>
      <c r="H72" s="94">
        <v>1369699089062</v>
      </c>
      <c r="I72" s="95">
        <v>360</v>
      </c>
      <c r="J72" s="106">
        <f t="shared" si="9"/>
        <v>120.68010193494246</v>
      </c>
      <c r="K72" s="177">
        <f t="shared" si="10"/>
        <v>1390005205106</v>
      </c>
      <c r="L72" s="94">
        <f>153510371915+205857669</f>
        <v>153716229584</v>
      </c>
      <c r="M72" s="94">
        <v>1621516334166</v>
      </c>
      <c r="N72" s="108">
        <f t="shared" si="11"/>
        <v>34.127218754599902</v>
      </c>
      <c r="O72" s="178">
        <f t="shared" si="12"/>
        <v>11.440211772392212</v>
      </c>
      <c r="P72" s="179">
        <f t="shared" si="13"/>
        <v>143.36710891715015</v>
      </c>
      <c r="Q72" s="94">
        <v>1472769099682</v>
      </c>
      <c r="R72" s="94">
        <v>1409165004033</v>
      </c>
      <c r="S72" s="140">
        <f t="shared" si="14"/>
        <v>63604095649</v>
      </c>
      <c r="T72" s="94">
        <v>1390005205106</v>
      </c>
      <c r="U72" s="94">
        <v>752677119911</v>
      </c>
      <c r="V72" s="135">
        <f t="shared" si="15"/>
        <v>1.8467483178847799</v>
      </c>
    </row>
    <row r="73" spans="2:22" ht="31.5">
      <c r="B73" s="74" t="s">
        <v>84</v>
      </c>
      <c r="C73" s="146">
        <v>59759</v>
      </c>
      <c r="D73" s="146">
        <v>58499</v>
      </c>
      <c r="E73" s="146">
        <v>333904</v>
      </c>
      <c r="F73" s="124">
        <f t="shared" si="8"/>
        <v>3.7735397000335427E-3</v>
      </c>
      <c r="G73" s="146">
        <v>34408</v>
      </c>
      <c r="H73" s="146">
        <v>85596</v>
      </c>
      <c r="I73" s="95">
        <v>360</v>
      </c>
      <c r="J73" s="106">
        <f t="shared" si="9"/>
        <v>144.71330436001682</v>
      </c>
      <c r="K73" s="177">
        <f t="shared" si="10"/>
        <v>208763</v>
      </c>
      <c r="L73" s="94">
        <v>747</v>
      </c>
      <c r="M73" s="94">
        <v>96421</v>
      </c>
      <c r="N73" s="108">
        <f t="shared" si="11"/>
        <v>2.7890189896391866</v>
      </c>
      <c r="O73" s="178">
        <f t="shared" si="12"/>
        <v>1.1211337608708951</v>
      </c>
      <c r="P73" s="179">
        <f t="shared" si="13"/>
        <v>146.38118958878511</v>
      </c>
      <c r="Q73" s="146">
        <v>274145</v>
      </c>
      <c r="R73" s="143">
        <v>278358</v>
      </c>
      <c r="S73" s="140">
        <f t="shared" si="14"/>
        <v>-4213</v>
      </c>
      <c r="T73" s="94">
        <f>58499 +150264</f>
        <v>208763</v>
      </c>
      <c r="U73" s="146">
        <v>125141</v>
      </c>
      <c r="V73" s="135">
        <f t="shared" si="15"/>
        <v>1.6682222453072935</v>
      </c>
    </row>
    <row r="74" spans="2:22" ht="15.75">
      <c r="B74" s="81"/>
      <c r="C74" s="148"/>
      <c r="D74" s="148"/>
      <c r="E74" s="148"/>
      <c r="F74" s="124" t="e">
        <f t="shared" si="8"/>
        <v>#DIV/0!</v>
      </c>
      <c r="G74" s="148"/>
      <c r="H74" s="148"/>
      <c r="I74" s="94"/>
      <c r="J74" s="106" t="e">
        <f t="shared" si="9"/>
        <v>#DIV/0!</v>
      </c>
      <c r="K74" s="177">
        <f t="shared" si="10"/>
        <v>0</v>
      </c>
      <c r="L74" s="148"/>
      <c r="M74" s="148"/>
      <c r="N74" s="108" t="e">
        <f t="shared" si="11"/>
        <v>#DIV/0!</v>
      </c>
      <c r="O74" s="178" t="e">
        <f t="shared" si="12"/>
        <v>#DIV/0!</v>
      </c>
      <c r="P74" s="179" t="e">
        <f t="shared" si="13"/>
        <v>#DIV/0!</v>
      </c>
      <c r="Q74" s="148"/>
      <c r="R74" s="148"/>
      <c r="S74" s="140">
        <f t="shared" si="14"/>
        <v>0</v>
      </c>
      <c r="T74" s="148"/>
      <c r="U74" s="148"/>
      <c r="V74" s="135" t="e">
        <f t="shared" si="15"/>
        <v>#DIV/0!</v>
      </c>
    </row>
    <row r="75" spans="2:22" ht="15.75">
      <c r="B75" s="82"/>
      <c r="C75" s="149"/>
      <c r="D75" s="149"/>
      <c r="E75" s="149"/>
      <c r="F75" s="124" t="e">
        <f t="shared" si="8"/>
        <v>#DIV/0!</v>
      </c>
      <c r="G75" s="149"/>
      <c r="H75" s="149"/>
      <c r="I75" s="94"/>
      <c r="J75" s="106" t="e">
        <f t="shared" si="9"/>
        <v>#DIV/0!</v>
      </c>
      <c r="K75" s="177">
        <f t="shared" si="10"/>
        <v>0</v>
      </c>
      <c r="L75" s="149"/>
      <c r="M75" s="149"/>
      <c r="N75" s="108" t="e">
        <f t="shared" si="11"/>
        <v>#DIV/0!</v>
      </c>
      <c r="O75" s="178" t="e">
        <f t="shared" si="12"/>
        <v>#DIV/0!</v>
      </c>
      <c r="P75" s="179" t="e">
        <f t="shared" si="13"/>
        <v>#DIV/0!</v>
      </c>
      <c r="Q75" s="149"/>
      <c r="R75" s="149"/>
      <c r="S75" s="140">
        <f t="shared" si="14"/>
        <v>0</v>
      </c>
      <c r="T75" s="149"/>
      <c r="U75" s="149"/>
      <c r="V75" s="135" t="e">
        <f t="shared" si="15"/>
        <v>#DIV/0!</v>
      </c>
    </row>
    <row r="76" spans="2:22" ht="31.5">
      <c r="B76" s="83" t="s">
        <v>85</v>
      </c>
      <c r="C76" s="150"/>
      <c r="D76" s="150"/>
      <c r="E76" s="150"/>
      <c r="F76" s="124" t="e">
        <f t="shared" si="8"/>
        <v>#DIV/0!</v>
      </c>
      <c r="G76" s="150"/>
      <c r="H76" s="150"/>
      <c r="I76" s="94"/>
      <c r="J76" s="106" t="e">
        <f t="shared" si="9"/>
        <v>#DIV/0!</v>
      </c>
      <c r="K76" s="177">
        <f t="shared" si="10"/>
        <v>0</v>
      </c>
      <c r="L76" s="150"/>
      <c r="M76" s="150"/>
      <c r="N76" s="108" t="e">
        <f t="shared" si="11"/>
        <v>#DIV/0!</v>
      </c>
      <c r="O76" s="178" t="e">
        <f t="shared" si="12"/>
        <v>#DIV/0!</v>
      </c>
      <c r="P76" s="179" t="e">
        <f t="shared" si="13"/>
        <v>#DIV/0!</v>
      </c>
      <c r="Q76" s="150"/>
      <c r="R76" s="150"/>
      <c r="S76" s="140">
        <f t="shared" si="14"/>
        <v>0</v>
      </c>
      <c r="T76" s="150"/>
      <c r="U76" s="150"/>
      <c r="V76" s="135" t="e">
        <f t="shared" si="15"/>
        <v>#DIV/0!</v>
      </c>
    </row>
    <row r="77" spans="2:22" ht="47.25">
      <c r="B77" s="84" t="s">
        <v>86</v>
      </c>
      <c r="C77" s="150"/>
      <c r="D77" s="150"/>
      <c r="E77" s="150"/>
      <c r="F77" s="124" t="e">
        <f t="shared" si="8"/>
        <v>#DIV/0!</v>
      </c>
      <c r="G77" s="150"/>
      <c r="H77" s="150"/>
      <c r="I77" s="94"/>
      <c r="J77" s="106" t="e">
        <f t="shared" si="9"/>
        <v>#DIV/0!</v>
      </c>
      <c r="K77" s="177">
        <f t="shared" si="10"/>
        <v>0</v>
      </c>
      <c r="L77" s="150"/>
      <c r="M77" s="150"/>
      <c r="N77" s="108" t="e">
        <f t="shared" si="11"/>
        <v>#DIV/0!</v>
      </c>
      <c r="O77" s="178" t="e">
        <f t="shared" si="12"/>
        <v>#DIV/0!</v>
      </c>
      <c r="P77" s="179" t="e">
        <f t="shared" si="13"/>
        <v>#DIV/0!</v>
      </c>
      <c r="Q77" s="150"/>
      <c r="R77" s="150"/>
      <c r="S77" s="140">
        <f t="shared" si="14"/>
        <v>0</v>
      </c>
      <c r="T77" s="150"/>
      <c r="U77" s="150"/>
      <c r="V77" s="135" t="e">
        <f t="shared" si="15"/>
        <v>#DIV/0!</v>
      </c>
    </row>
    <row r="78" spans="2:22" ht="31.5">
      <c r="B78" s="85" t="s">
        <v>87</v>
      </c>
      <c r="C78" s="150">
        <v>427996260441</v>
      </c>
      <c r="D78" s="150">
        <v>282826593019</v>
      </c>
      <c r="E78" s="150">
        <v>533537626101</v>
      </c>
      <c r="F78" s="124">
        <f t="shared" si="8"/>
        <v>0.2720889030505208</v>
      </c>
      <c r="G78" s="150">
        <v>309418001035</v>
      </c>
      <c r="H78" s="150">
        <v>18952968182</v>
      </c>
      <c r="I78" s="95">
        <v>360</v>
      </c>
      <c r="J78" s="106">
        <f t="shared" si="9"/>
        <v>5877.2050532111207</v>
      </c>
      <c r="K78" s="177">
        <f t="shared" si="10"/>
        <v>356965176950</v>
      </c>
      <c r="L78" s="150">
        <v>80274036363</v>
      </c>
      <c r="M78" s="150">
        <v>283205794372</v>
      </c>
      <c r="N78" s="108">
        <f t="shared" si="11"/>
        <v>102.04117876458658</v>
      </c>
      <c r="O78" s="178">
        <f t="shared" si="12"/>
        <v>1665.8803651967987</v>
      </c>
      <c r="P78" s="179">
        <f t="shared" si="13"/>
        <v>4313.3658667789077</v>
      </c>
      <c r="Q78" s="150">
        <v>105541365660</v>
      </c>
      <c r="R78" s="94">
        <v>94052847950</v>
      </c>
      <c r="S78" s="140">
        <f t="shared" si="14"/>
        <v>11488517710</v>
      </c>
      <c r="T78" s="150">
        <f>282826593019+74138583931</f>
        <v>356965176950</v>
      </c>
      <c r="U78" s="150">
        <v>176572449151</v>
      </c>
      <c r="V78" s="135">
        <f t="shared" si="15"/>
        <v>2.0216357572564054</v>
      </c>
    </row>
    <row r="79" spans="2:22" ht="31.5">
      <c r="B79" s="84" t="s">
        <v>88</v>
      </c>
      <c r="C79" s="150"/>
      <c r="D79" s="150"/>
      <c r="E79" s="150"/>
      <c r="F79" s="124" t="e">
        <f t="shared" si="8"/>
        <v>#DIV/0!</v>
      </c>
      <c r="G79" s="150"/>
      <c r="H79" s="150"/>
      <c r="I79" s="95">
        <v>360</v>
      </c>
      <c r="J79" s="106" t="e">
        <f t="shared" si="9"/>
        <v>#DIV/0!</v>
      </c>
      <c r="K79" s="177">
        <f t="shared" si="10"/>
        <v>0</v>
      </c>
      <c r="L79" s="150"/>
      <c r="M79" s="150"/>
      <c r="N79" s="108" t="e">
        <f t="shared" si="11"/>
        <v>#DIV/0!</v>
      </c>
      <c r="O79" s="178" t="e">
        <f t="shared" si="12"/>
        <v>#DIV/0!</v>
      </c>
      <c r="P79" s="179" t="e">
        <f t="shared" si="13"/>
        <v>#DIV/0!</v>
      </c>
      <c r="Q79" s="150"/>
      <c r="R79" s="150"/>
      <c r="S79" s="140">
        <f t="shared" si="14"/>
        <v>0</v>
      </c>
      <c r="T79" s="150"/>
      <c r="U79" s="150"/>
      <c r="V79" s="135" t="e">
        <f t="shared" si="15"/>
        <v>#DIV/0!</v>
      </c>
    </row>
    <row r="80" spans="2:22" ht="31.5">
      <c r="B80" s="85" t="s">
        <v>89</v>
      </c>
      <c r="C80" s="150">
        <v>105161</v>
      </c>
      <c r="D80" s="150">
        <v>76242</v>
      </c>
      <c r="E80" s="150">
        <v>245435</v>
      </c>
      <c r="F80" s="124">
        <f t="shared" si="8"/>
        <v>0.11782753071077882</v>
      </c>
      <c r="G80" s="150">
        <v>18337</v>
      </c>
      <c r="H80" s="150">
        <v>147486</v>
      </c>
      <c r="I80" s="95">
        <v>360</v>
      </c>
      <c r="J80" s="106">
        <f t="shared" si="9"/>
        <v>44.758960172490951</v>
      </c>
      <c r="K80" s="177">
        <f t="shared" si="10"/>
        <v>118902</v>
      </c>
      <c r="L80" s="150">
        <f>923+16853</f>
        <v>17776</v>
      </c>
      <c r="M80" s="150">
        <v>184196</v>
      </c>
      <c r="N80" s="108">
        <f t="shared" si="11"/>
        <v>34.742122521661706</v>
      </c>
      <c r="O80" s="178">
        <f t="shared" si="12"/>
        <v>4.3195035507079362</v>
      </c>
      <c r="P80" s="179">
        <f t="shared" si="13"/>
        <v>75.181579143444722</v>
      </c>
      <c r="Q80" s="94">
        <v>138786</v>
      </c>
      <c r="R80" s="94">
        <v>138786</v>
      </c>
      <c r="S80" s="140">
        <f t="shared" si="14"/>
        <v>0</v>
      </c>
      <c r="T80" s="150">
        <v>118902</v>
      </c>
      <c r="U80" s="150">
        <v>126533</v>
      </c>
      <c r="V80" s="135">
        <f t="shared" si="15"/>
        <v>0.93969162194842448</v>
      </c>
    </row>
    <row r="81" spans="2:22" ht="31.5">
      <c r="B81" s="85" t="s">
        <v>90</v>
      </c>
      <c r="C81" s="150">
        <v>4796770</v>
      </c>
      <c r="D81" s="150">
        <v>3625907</v>
      </c>
      <c r="E81" s="150">
        <v>14339110</v>
      </c>
      <c r="F81" s="124">
        <f t="shared" si="8"/>
        <v>8.1655207331556845E-2</v>
      </c>
      <c r="G81" s="150">
        <v>1749263</v>
      </c>
      <c r="H81" s="150">
        <v>9993047</v>
      </c>
      <c r="I81" s="95">
        <v>360</v>
      </c>
      <c r="J81" s="106">
        <f t="shared" si="9"/>
        <v>63.017283917507847</v>
      </c>
      <c r="K81" s="177">
        <f t="shared" si="10"/>
        <v>4195684</v>
      </c>
      <c r="L81" s="150">
        <f>1036530+515084</f>
        <v>1551614</v>
      </c>
      <c r="M81" s="150">
        <v>11723787</v>
      </c>
      <c r="N81" s="108">
        <f t="shared" si="11"/>
        <v>47.645103071217513</v>
      </c>
      <c r="O81" s="178">
        <f t="shared" si="12"/>
        <v>8.3401805208828872</v>
      </c>
      <c r="P81" s="179">
        <f t="shared" si="13"/>
        <v>102.32220646784248</v>
      </c>
      <c r="Q81" s="150">
        <v>9542340</v>
      </c>
      <c r="R81" s="150">
        <v>9249488</v>
      </c>
      <c r="S81" s="140">
        <f t="shared" si="14"/>
        <v>292852</v>
      </c>
      <c r="T81" s="150">
        <v>4195684</v>
      </c>
      <c r="U81" s="150">
        <v>10143426</v>
      </c>
      <c r="V81" s="135">
        <f t="shared" si="15"/>
        <v>0.41363578735626405</v>
      </c>
    </row>
    <row r="82" spans="2:22" ht="31.5">
      <c r="B82" s="85" t="s">
        <v>91</v>
      </c>
      <c r="C82" s="150">
        <v>6602281</v>
      </c>
      <c r="D82" s="143">
        <v>3713148</v>
      </c>
      <c r="E82" s="150">
        <v>17509505</v>
      </c>
      <c r="F82" s="124">
        <f t="shared" si="8"/>
        <v>0.16500369370807455</v>
      </c>
      <c r="G82" s="150">
        <v>2112616</v>
      </c>
      <c r="H82" s="143">
        <v>12970237</v>
      </c>
      <c r="I82" s="95">
        <v>360</v>
      </c>
      <c r="J82" s="106">
        <f t="shared" si="9"/>
        <v>58.637460518261918</v>
      </c>
      <c r="K82" s="177">
        <f t="shared" si="10"/>
        <v>12115363</v>
      </c>
      <c r="L82" s="150">
        <f>509358+1902041</f>
        <v>2411399</v>
      </c>
      <c r="M82" s="150">
        <v>12970237</v>
      </c>
      <c r="N82" s="108">
        <f t="shared" si="11"/>
        <v>66.930437739880929</v>
      </c>
      <c r="O82" s="178">
        <f t="shared" si="12"/>
        <v>10.901752501228486</v>
      </c>
      <c r="P82" s="179">
        <f t="shared" si="13"/>
        <v>114.66614575691436</v>
      </c>
      <c r="Q82" s="143">
        <v>10907224</v>
      </c>
      <c r="R82" s="143">
        <v>9838784</v>
      </c>
      <c r="S82" s="140">
        <f t="shared" si="14"/>
        <v>1068440</v>
      </c>
      <c r="T82" s="143">
        <v>12115363</v>
      </c>
      <c r="U82" s="143">
        <v>5394142</v>
      </c>
      <c r="V82" s="135">
        <f t="shared" si="15"/>
        <v>2.2460222589616663</v>
      </c>
    </row>
    <row r="83" spans="2:22" ht="34.5" customHeight="1">
      <c r="B83" s="85" t="s">
        <v>92</v>
      </c>
      <c r="C83" s="150">
        <v>102097679</v>
      </c>
      <c r="D83" s="150">
        <v>56517831</v>
      </c>
      <c r="E83" s="150">
        <v>291834622</v>
      </c>
      <c r="F83" s="124">
        <f t="shared" si="8"/>
        <v>0.15618382660574112</v>
      </c>
      <c r="G83" s="150">
        <v>52227255</v>
      </c>
      <c r="H83" s="150">
        <v>172571775</v>
      </c>
      <c r="I83" s="95">
        <v>360</v>
      </c>
      <c r="J83" s="106">
        <f t="shared" si="9"/>
        <v>108.9506774789794</v>
      </c>
      <c r="K83" s="177">
        <f t="shared" si="10"/>
        <v>108900841</v>
      </c>
      <c r="L83" s="150">
        <f>2660598+25313183</f>
        <v>27973781</v>
      </c>
      <c r="M83" s="150">
        <v>207866547</v>
      </c>
      <c r="N83" s="108">
        <f t="shared" si="11"/>
        <v>48.447243220911346</v>
      </c>
      <c r="O83" s="178">
        <f t="shared" si="12"/>
        <v>14.662111030297732</v>
      </c>
      <c r="P83" s="179">
        <f t="shared" si="13"/>
        <v>142.73580966959301</v>
      </c>
      <c r="Q83" s="150">
        <v>189736943</v>
      </c>
      <c r="R83" s="94">
        <v>198915645</v>
      </c>
      <c r="S83" s="140">
        <f t="shared" si="14"/>
        <v>-9178702</v>
      </c>
      <c r="T83" s="150">
        <v>108900841</v>
      </c>
      <c r="U83" s="150">
        <v>182933781</v>
      </c>
      <c r="V83" s="135">
        <f t="shared" si="15"/>
        <v>0.59530197432479681</v>
      </c>
    </row>
    <row r="84" spans="2:22" ht="31.5">
      <c r="B84" s="85" t="s">
        <v>93</v>
      </c>
      <c r="C84" s="150">
        <v>11845370194860</v>
      </c>
      <c r="D84" s="150">
        <v>13035531353729</v>
      </c>
      <c r="E84" s="150">
        <v>24860957839497</v>
      </c>
      <c r="F84" s="124">
        <f t="shared" si="8"/>
        <v>-4.7872699296330895E-2</v>
      </c>
      <c r="G84" s="150">
        <v>2818952958749</v>
      </c>
      <c r="H84" s="150">
        <v>15352337918614</v>
      </c>
      <c r="I84" s="95">
        <v>360</v>
      </c>
      <c r="J84" s="106">
        <f t="shared" si="9"/>
        <v>66.102183949404477</v>
      </c>
      <c r="K84" s="177">
        <f t="shared" si="10"/>
        <v>18163865982392</v>
      </c>
      <c r="L84" s="150">
        <f>203310491428+1989099549036</f>
        <v>2192410040464</v>
      </c>
      <c r="M84" s="150">
        <v>18099979783215</v>
      </c>
      <c r="N84" s="108">
        <f t="shared" si="11"/>
        <v>43.60599426188125</v>
      </c>
      <c r="O84" s="178">
        <f t="shared" si="12"/>
        <v>8.0068095944320845</v>
      </c>
      <c r="P84" s="179">
        <f t="shared" si="13"/>
        <v>101.70136861685364</v>
      </c>
      <c r="Q84" s="150">
        <v>12668683226177</v>
      </c>
      <c r="R84" s="150">
        <v>11628426593600</v>
      </c>
      <c r="S84" s="140">
        <f t="shared" si="14"/>
        <v>1040256632577</v>
      </c>
      <c r="T84" s="150">
        <v>18163865982392</v>
      </c>
      <c r="U84" s="150">
        <v>6697091857105</v>
      </c>
      <c r="V84" s="135">
        <f t="shared" si="15"/>
        <v>2.7122020079688478</v>
      </c>
    </row>
    <row r="85" spans="2:22" ht="34.5" customHeight="1">
      <c r="B85" s="85" t="s">
        <v>94</v>
      </c>
      <c r="C85" s="143">
        <v>992929224058</v>
      </c>
      <c r="D85" s="143">
        <v>445006853182</v>
      </c>
      <c r="E85" s="143">
        <v>2553928346219</v>
      </c>
      <c r="F85" s="124">
        <f t="shared" si="8"/>
        <v>0.214541011570344</v>
      </c>
      <c r="G85" s="143">
        <v>538841439260</v>
      </c>
      <c r="H85" s="143">
        <v>1474993480568</v>
      </c>
      <c r="I85" s="95">
        <v>360</v>
      </c>
      <c r="J85" s="106">
        <f t="shared" si="9"/>
        <v>131.51442409013211</v>
      </c>
      <c r="K85" s="177">
        <f t="shared" si="10"/>
        <v>634889428231</v>
      </c>
      <c r="L85" s="129">
        <f>295404445756+15917231070</f>
        <v>311321676826</v>
      </c>
      <c r="M85" s="188">
        <v>1659505639261</v>
      </c>
      <c r="N85" s="108">
        <f t="shared" si="11"/>
        <v>67.535657008835983</v>
      </c>
      <c r="O85" s="178">
        <f t="shared" si="12"/>
        <v>24.671980658515995</v>
      </c>
      <c r="P85" s="179">
        <f t="shared" si="13"/>
        <v>174.3781004404521</v>
      </c>
      <c r="Q85" s="143">
        <v>1560999122161</v>
      </c>
      <c r="R85" s="143">
        <v>1306711845872</v>
      </c>
      <c r="S85" s="140">
        <f t="shared" si="14"/>
        <v>254287276289</v>
      </c>
      <c r="T85" s="143">
        <v>634889428231</v>
      </c>
      <c r="U85" s="143">
        <v>1919038917988</v>
      </c>
      <c r="V85" s="135">
        <f t="shared" si="15"/>
        <v>0.3308371822373693</v>
      </c>
    </row>
    <row r="86" spans="2:22" ht="31.5">
      <c r="B86" s="87" t="s">
        <v>95</v>
      </c>
      <c r="C86" s="154">
        <v>144869426373</v>
      </c>
      <c r="D86" s="150">
        <v>180556111049</v>
      </c>
      <c r="E86" s="154">
        <v>324054785283</v>
      </c>
      <c r="F86" s="124">
        <f t="shared" si="8"/>
        <v>-0.11012546734909189</v>
      </c>
      <c r="G86" s="154">
        <v>39606789768</v>
      </c>
      <c r="H86" s="154">
        <v>55239227613</v>
      </c>
      <c r="I86" s="95">
        <v>360</v>
      </c>
      <c r="J86" s="106">
        <f t="shared" si="9"/>
        <v>258.12171771070194</v>
      </c>
      <c r="K86" s="177">
        <f t="shared" si="10"/>
        <v>207564071081</v>
      </c>
      <c r="L86" s="154">
        <v>19097955832</v>
      </c>
      <c r="M86" s="150">
        <v>77790171689</v>
      </c>
      <c r="N86" s="108">
        <f t="shared" si="11"/>
        <v>88.382168984108361</v>
      </c>
      <c r="O86" s="178">
        <f t="shared" si="12"/>
        <v>63.370436869932156</v>
      </c>
      <c r="P86" s="179">
        <f t="shared" si="13"/>
        <v>283.13344982487814</v>
      </c>
      <c r="Q86" s="151">
        <v>179185358910</v>
      </c>
      <c r="R86" s="151">
        <v>100713499599</v>
      </c>
      <c r="S86" s="140">
        <f t="shared" si="14"/>
        <v>78471859311</v>
      </c>
      <c r="T86" s="151">
        <v>207564071081</v>
      </c>
      <c r="U86" s="143">
        <v>116490714202</v>
      </c>
      <c r="V86" s="135">
        <f t="shared" si="15"/>
        <v>1.7818078677161753</v>
      </c>
    </row>
    <row r="87" spans="2:22" ht="31.5">
      <c r="B87" s="85" t="s">
        <v>96</v>
      </c>
      <c r="C87" s="150">
        <v>159081833</v>
      </c>
      <c r="D87" s="150">
        <v>123784397</v>
      </c>
      <c r="E87" s="150">
        <v>598429237</v>
      </c>
      <c r="F87" s="124">
        <f t="shared" si="8"/>
        <v>5.8983475100498811E-2</v>
      </c>
      <c r="G87" s="150">
        <v>71018699</v>
      </c>
      <c r="H87" s="150">
        <v>219348808</v>
      </c>
      <c r="I87" s="95">
        <v>360</v>
      </c>
      <c r="J87" s="106">
        <f t="shared" si="9"/>
        <v>116.55742227694257</v>
      </c>
      <c r="K87" s="177">
        <f t="shared" si="10"/>
        <v>252977703</v>
      </c>
      <c r="L87" s="150">
        <v>30099805</v>
      </c>
      <c r="M87" s="150">
        <v>237022254</v>
      </c>
      <c r="N87" s="108">
        <f t="shared" si="11"/>
        <v>45.716930022950507</v>
      </c>
      <c r="O87" s="178">
        <f t="shared" si="12"/>
        <v>14.801798660806877</v>
      </c>
      <c r="P87" s="179">
        <f t="shared" si="13"/>
        <v>147.47255363908621</v>
      </c>
      <c r="Q87" s="94">
        <v>439347404</v>
      </c>
      <c r="R87" s="94">
        <v>457951308</v>
      </c>
      <c r="S87" s="140">
        <f t="shared" si="14"/>
        <v>-18603904</v>
      </c>
      <c r="T87" s="94">
        <v>252977703</v>
      </c>
      <c r="U87" s="150">
        <v>345451534</v>
      </c>
      <c r="V87" s="135">
        <f t="shared" si="15"/>
        <v>0.73231026092360618</v>
      </c>
    </row>
    <row r="88" spans="2:22" ht="36.75" customHeight="1">
      <c r="B88" s="85" t="s">
        <v>97</v>
      </c>
      <c r="C88" s="94">
        <v>701282705</v>
      </c>
      <c r="D88" s="94">
        <v>669595797</v>
      </c>
      <c r="E88" s="94">
        <v>1547720090</v>
      </c>
      <c r="F88" s="124">
        <f t="shared" si="8"/>
        <v>2.0473280798467892E-2</v>
      </c>
      <c r="G88" s="94">
        <v>246439073</v>
      </c>
      <c r="H88" s="94">
        <v>805199126</v>
      </c>
      <c r="I88" s="95">
        <v>360</v>
      </c>
      <c r="J88" s="106">
        <f t="shared" si="9"/>
        <v>110.18152332172302</v>
      </c>
      <c r="K88" s="177">
        <f t="shared" si="10"/>
        <v>938717411</v>
      </c>
      <c r="L88" s="150">
        <v>320245088</v>
      </c>
      <c r="M88" s="150">
        <v>987862829</v>
      </c>
      <c r="N88" s="108">
        <f t="shared" si="11"/>
        <v>116.70469653838954</v>
      </c>
      <c r="O88" s="178">
        <f t="shared" si="12"/>
        <v>35.718614564997708</v>
      </c>
      <c r="P88" s="179">
        <f t="shared" si="13"/>
        <v>191.16760529511487</v>
      </c>
      <c r="Q88" s="94">
        <v>846437385</v>
      </c>
      <c r="R88" s="94">
        <v>535402116</v>
      </c>
      <c r="S88" s="140">
        <f t="shared" si="14"/>
        <v>311035269</v>
      </c>
      <c r="T88" s="150">
        <v>938717411</v>
      </c>
      <c r="U88" s="150">
        <v>609002679</v>
      </c>
      <c r="V88" s="135">
        <f t="shared" si="15"/>
        <v>1.5414011191894939</v>
      </c>
    </row>
    <row r="89" spans="2:22" ht="31.5">
      <c r="B89" s="85" t="s">
        <v>98</v>
      </c>
      <c r="C89" s="94">
        <v>658889212539</v>
      </c>
      <c r="D89" s="143">
        <v>655589698468</v>
      </c>
      <c r="E89" s="143">
        <v>1531742052164</v>
      </c>
      <c r="F89" s="124">
        <f t="shared" si="8"/>
        <v>2.1540925029371258E-3</v>
      </c>
      <c r="G89" s="143">
        <v>286944128546</v>
      </c>
      <c r="H89" s="143">
        <v>386379894456</v>
      </c>
      <c r="I89" s="95">
        <v>360</v>
      </c>
      <c r="J89" s="106">
        <f t="shared" si="9"/>
        <v>267.35316138020102</v>
      </c>
      <c r="K89" s="177">
        <f t="shared" si="10"/>
        <v>811177918367</v>
      </c>
      <c r="L89" s="143">
        <v>58529352855</v>
      </c>
      <c r="M89" s="150">
        <v>469645085526</v>
      </c>
      <c r="N89" s="108">
        <f t="shared" si="11"/>
        <v>44.864872809647473</v>
      </c>
      <c r="O89" s="178">
        <f t="shared" si="12"/>
        <v>33.318793279388537</v>
      </c>
      <c r="P89" s="179">
        <f t="shared" si="13"/>
        <v>278.89924091045992</v>
      </c>
      <c r="Q89" s="143">
        <v>872852839625</v>
      </c>
      <c r="R89" s="143">
        <v>720048688386</v>
      </c>
      <c r="S89" s="140">
        <f t="shared" si="14"/>
        <v>152804151239</v>
      </c>
      <c r="T89" s="143">
        <v>811177918367</v>
      </c>
      <c r="U89" s="143">
        <v>720564133797</v>
      </c>
      <c r="V89" s="135">
        <f t="shared" si="15"/>
        <v>1.1257539479414722</v>
      </c>
    </row>
    <row r="90" spans="2:22" ht="31.5">
      <c r="B90" s="85" t="s">
        <v>99</v>
      </c>
      <c r="C90" s="94">
        <v>1368558</v>
      </c>
      <c r="D90" s="144">
        <v>571712</v>
      </c>
      <c r="E90" s="94">
        <v>2220108</v>
      </c>
      <c r="F90" s="124">
        <f t="shared" si="8"/>
        <v>0.35892217856068265</v>
      </c>
      <c r="G90" s="94">
        <v>560755</v>
      </c>
      <c r="H90" s="94">
        <v>1933387</v>
      </c>
      <c r="I90" s="95">
        <v>360</v>
      </c>
      <c r="J90" s="106">
        <f t="shared" si="9"/>
        <v>104.41354989973554</v>
      </c>
      <c r="K90" s="177">
        <f t="shared" si="10"/>
        <v>77986</v>
      </c>
      <c r="L90" s="150">
        <f>591822+8033</f>
        <v>599855</v>
      </c>
      <c r="M90" s="150">
        <v>2802924</v>
      </c>
      <c r="N90" s="108">
        <f t="shared" si="11"/>
        <v>77.043758589244661</v>
      </c>
      <c r="O90" s="178">
        <f t="shared" si="12"/>
        <v>22.345589810892434</v>
      </c>
      <c r="P90" s="179">
        <f t="shared" si="13"/>
        <v>159.11171867808775</v>
      </c>
      <c r="Q90" s="150">
        <v>85155</v>
      </c>
      <c r="R90" s="150">
        <v>623904</v>
      </c>
      <c r="S90" s="140">
        <f t="shared" si="14"/>
        <v>-538749</v>
      </c>
      <c r="T90" s="150">
        <v>77986</v>
      </c>
      <c r="U90" s="150">
        <v>1440248</v>
      </c>
      <c r="V90" s="135">
        <f t="shared" si="15"/>
        <v>5.4147619021168575E-2</v>
      </c>
    </row>
    <row r="91" spans="2:22" ht="31.5">
      <c r="B91" s="88" t="s">
        <v>100</v>
      </c>
      <c r="C91" s="94"/>
      <c r="D91" s="94"/>
      <c r="E91" s="94"/>
      <c r="F91" s="124" t="e">
        <f t="shared" si="8"/>
        <v>#DIV/0!</v>
      </c>
      <c r="G91" s="94"/>
      <c r="H91" s="94"/>
      <c r="I91" s="94"/>
      <c r="J91" s="106" t="e">
        <f t="shared" si="9"/>
        <v>#DIV/0!</v>
      </c>
      <c r="K91" s="177">
        <f t="shared" si="10"/>
        <v>0</v>
      </c>
      <c r="L91" s="150"/>
      <c r="M91" s="150"/>
      <c r="N91" s="108" t="e">
        <f t="shared" si="11"/>
        <v>#DIV/0!</v>
      </c>
      <c r="O91" s="178" t="e">
        <f t="shared" si="12"/>
        <v>#DIV/0!</v>
      </c>
      <c r="P91" s="179" t="e">
        <f t="shared" si="13"/>
        <v>#DIV/0!</v>
      </c>
      <c r="Q91" s="150"/>
      <c r="R91" s="150"/>
      <c r="S91" s="140">
        <f t="shared" si="14"/>
        <v>0</v>
      </c>
      <c r="T91" s="150"/>
      <c r="U91" s="150"/>
      <c r="V91" s="135" t="e">
        <f t="shared" si="15"/>
        <v>#DIV/0!</v>
      </c>
    </row>
    <row r="92" spans="2:22" ht="35.25" customHeight="1">
      <c r="B92" s="85" t="s">
        <v>101</v>
      </c>
      <c r="C92" s="94">
        <v>22091948</v>
      </c>
      <c r="D92" s="94" t="s">
        <v>344</v>
      </c>
      <c r="E92" s="94">
        <v>130251770</v>
      </c>
      <c r="F92" s="124" t="e">
        <f t="shared" si="8"/>
        <v>#VALUE!</v>
      </c>
      <c r="G92" s="94">
        <v>14510171</v>
      </c>
      <c r="H92" s="94">
        <v>50237198</v>
      </c>
      <c r="I92" s="95">
        <v>360</v>
      </c>
      <c r="J92" s="106">
        <f t="shared" si="9"/>
        <v>103.9799544552624</v>
      </c>
      <c r="K92" s="177">
        <f t="shared" si="10"/>
        <v>161898277</v>
      </c>
      <c r="L92" s="150">
        <f>3942511+337938</f>
        <v>4280449</v>
      </c>
      <c r="M92" s="150">
        <v>45264061</v>
      </c>
      <c r="N92" s="108">
        <f t="shared" si="11"/>
        <v>34.043822095414725</v>
      </c>
      <c r="O92" s="178">
        <f t="shared" si="12"/>
        <v>9.8329863082341085</v>
      </c>
      <c r="P92" s="179">
        <f t="shared" si="13"/>
        <v>128.19079024244303</v>
      </c>
      <c r="Q92" s="150">
        <v>108159822</v>
      </c>
      <c r="R92" s="150">
        <v>116580403</v>
      </c>
      <c r="S92" s="140">
        <f t="shared" si="14"/>
        <v>-8420581</v>
      </c>
      <c r="T92" s="150">
        <v>161898277</v>
      </c>
      <c r="U92" s="150">
        <v>-31646507</v>
      </c>
      <c r="V92" s="135">
        <f t="shared" si="15"/>
        <v>-5.1158340160574438</v>
      </c>
    </row>
    <row r="93" spans="2:22" ht="31.5">
      <c r="B93" s="85" t="s">
        <v>102</v>
      </c>
      <c r="C93" s="94">
        <v>143251239</v>
      </c>
      <c r="D93" s="94">
        <v>1101821058</v>
      </c>
      <c r="E93" s="94">
        <v>232495236</v>
      </c>
      <c r="F93" s="124">
        <f t="shared" si="8"/>
        <v>-4.1229654228269865</v>
      </c>
      <c r="G93" s="94">
        <v>61164596</v>
      </c>
      <c r="H93" s="94">
        <v>381902793</v>
      </c>
      <c r="I93" s="95">
        <v>360</v>
      </c>
      <c r="J93" s="106">
        <f t="shared" si="9"/>
        <v>57.656699462787124</v>
      </c>
      <c r="K93" s="177">
        <f t="shared" si="10"/>
        <v>1157901961</v>
      </c>
      <c r="L93" s="150">
        <f>31567047+19479699</f>
        <v>51046746</v>
      </c>
      <c r="M93" s="150">
        <v>387053770</v>
      </c>
      <c r="N93" s="108">
        <f t="shared" si="11"/>
        <v>47.478748391986983</v>
      </c>
      <c r="O93" s="178">
        <f t="shared" si="12"/>
        <v>7.6040775747391134</v>
      </c>
      <c r="P93" s="179">
        <f t="shared" si="13"/>
        <v>97.531370280034992</v>
      </c>
      <c r="Q93" s="150">
        <v>89243997</v>
      </c>
      <c r="R93" s="94">
        <v>97951511</v>
      </c>
      <c r="S93" s="140">
        <f t="shared" si="14"/>
        <v>-8707514</v>
      </c>
      <c r="T93" s="150">
        <v>1157901961</v>
      </c>
      <c r="U93" s="150">
        <v>-925406725</v>
      </c>
      <c r="V93" s="135">
        <f t="shared" si="15"/>
        <v>-1.2512357320506828</v>
      </c>
    </row>
    <row r="94" spans="2:22" ht="31.5">
      <c r="B94" s="85" t="s">
        <v>103</v>
      </c>
      <c r="C94" s="150"/>
      <c r="D94" s="150"/>
      <c r="E94" s="150"/>
      <c r="F94" s="124" t="e">
        <f t="shared" si="8"/>
        <v>#DIV/0!</v>
      </c>
      <c r="G94" s="150"/>
      <c r="H94" s="150"/>
      <c r="I94" s="186"/>
      <c r="J94" s="106" t="e">
        <f t="shared" si="9"/>
        <v>#DIV/0!</v>
      </c>
      <c r="K94" s="177">
        <f t="shared" si="10"/>
        <v>0</v>
      </c>
      <c r="L94" s="150"/>
      <c r="M94" s="150"/>
      <c r="N94" s="108" t="e">
        <f t="shared" si="11"/>
        <v>#DIV/0!</v>
      </c>
      <c r="O94" s="178" t="e">
        <f t="shared" si="12"/>
        <v>#DIV/0!</v>
      </c>
      <c r="P94" s="179" t="e">
        <f t="shared" si="13"/>
        <v>#DIV/0!</v>
      </c>
      <c r="Q94" s="150"/>
      <c r="R94" s="150"/>
      <c r="S94" s="140">
        <f t="shared" si="14"/>
        <v>0</v>
      </c>
      <c r="T94" s="150"/>
      <c r="U94" s="150"/>
      <c r="V94" s="135" t="e">
        <f t="shared" si="15"/>
        <v>#DIV/0!</v>
      </c>
    </row>
    <row r="95" spans="2:22" ht="31.5">
      <c r="B95" s="85" t="s">
        <v>104</v>
      </c>
      <c r="C95" s="150"/>
      <c r="D95" s="150"/>
      <c r="E95" s="150"/>
      <c r="F95" s="124" t="e">
        <f t="shared" si="8"/>
        <v>#DIV/0!</v>
      </c>
      <c r="G95" s="150"/>
      <c r="H95" s="150"/>
      <c r="I95" s="186"/>
      <c r="J95" s="106" t="e">
        <f t="shared" si="9"/>
        <v>#DIV/0!</v>
      </c>
      <c r="K95" s="177">
        <f t="shared" si="10"/>
        <v>0</v>
      </c>
      <c r="L95" s="150"/>
      <c r="M95" s="150"/>
      <c r="N95" s="108" t="e">
        <f t="shared" si="11"/>
        <v>#DIV/0!</v>
      </c>
      <c r="O95" s="178" t="e">
        <f t="shared" si="12"/>
        <v>#DIV/0!</v>
      </c>
      <c r="P95" s="179" t="e">
        <f t="shared" si="13"/>
        <v>#DIV/0!</v>
      </c>
      <c r="Q95" s="150"/>
      <c r="R95" s="150"/>
      <c r="S95" s="140">
        <f t="shared" si="14"/>
        <v>0</v>
      </c>
      <c r="T95" s="150"/>
      <c r="U95" s="150"/>
      <c r="V95" s="135" t="e">
        <f t="shared" si="15"/>
        <v>#DIV/0!</v>
      </c>
    </row>
    <row r="96" spans="2:22" ht="32.25" customHeight="1">
      <c r="B96" s="74" t="s">
        <v>105</v>
      </c>
      <c r="C96" s="94">
        <v>26716146</v>
      </c>
      <c r="D96" s="94">
        <v>21234332</v>
      </c>
      <c r="E96" s="94">
        <v>52990761</v>
      </c>
      <c r="F96" s="124">
        <f t="shared" si="8"/>
        <v>0.10344848604835095</v>
      </c>
      <c r="G96" s="94">
        <v>12762639</v>
      </c>
      <c r="H96" s="94">
        <v>48349310</v>
      </c>
      <c r="I96" s="95">
        <v>360</v>
      </c>
      <c r="J96" s="106">
        <f t="shared" si="9"/>
        <v>95.028244250021359</v>
      </c>
      <c r="K96" s="177">
        <f t="shared" si="10"/>
        <v>35854739</v>
      </c>
      <c r="L96" s="94">
        <v>9540038</v>
      </c>
      <c r="M96" s="94">
        <v>69181934</v>
      </c>
      <c r="N96" s="108">
        <f t="shared" si="11"/>
        <v>49.643215814117021</v>
      </c>
      <c r="O96" s="178">
        <f t="shared" si="12"/>
        <v>13.104187882612321</v>
      </c>
      <c r="P96" s="179">
        <f t="shared" si="13"/>
        <v>131.56727218152608</v>
      </c>
      <c r="Q96" s="94">
        <v>26274615</v>
      </c>
      <c r="R96" s="94">
        <v>26760706</v>
      </c>
      <c r="S96" s="140">
        <f t="shared" si="14"/>
        <v>-486091</v>
      </c>
      <c r="T96" s="94">
        <v>35854739</v>
      </c>
      <c r="U96" s="94">
        <v>17136022</v>
      </c>
      <c r="V96" s="135">
        <f t="shared" si="15"/>
        <v>2.0923607007507345</v>
      </c>
    </row>
    <row r="97" spans="2:22" ht="31.5">
      <c r="B97" s="72" t="s">
        <v>106</v>
      </c>
      <c r="C97" s="143">
        <v>26441855</v>
      </c>
      <c r="D97" s="143">
        <v>39186759</v>
      </c>
      <c r="E97" s="143">
        <v>56837316</v>
      </c>
      <c r="F97" s="124">
        <f t="shared" si="8"/>
        <v>-0.22423479673107716</v>
      </c>
      <c r="G97" s="143">
        <v>20584895</v>
      </c>
      <c r="H97" s="143">
        <v>39815622</v>
      </c>
      <c r="I97" s="95">
        <v>360</v>
      </c>
      <c r="J97" s="106">
        <f t="shared" si="9"/>
        <v>186.12197493737509</v>
      </c>
      <c r="K97" s="177">
        <f t="shared" si="10"/>
        <v>43813196</v>
      </c>
      <c r="L97" s="143">
        <v>3465568</v>
      </c>
      <c r="M97" s="94">
        <v>36980479</v>
      </c>
      <c r="N97" s="108">
        <f t="shared" si="11"/>
        <v>33.736839374092483</v>
      </c>
      <c r="O97" s="178">
        <f t="shared" si="12"/>
        <v>17.442131034586364</v>
      </c>
      <c r="P97" s="179">
        <f t="shared" si="13"/>
        <v>202.4166832768812</v>
      </c>
      <c r="Q97" s="143">
        <v>30395461</v>
      </c>
      <c r="R97" s="143">
        <v>37050683</v>
      </c>
      <c r="S97" s="140">
        <f t="shared" si="14"/>
        <v>-6655222</v>
      </c>
      <c r="T97" s="143">
        <v>43813196</v>
      </c>
      <c r="U97" s="143">
        <v>13024120</v>
      </c>
      <c r="V97" s="135">
        <f t="shared" si="15"/>
        <v>3.3640043242844815</v>
      </c>
    </row>
    <row r="98" spans="2:22" ht="31.5">
      <c r="B98" s="74" t="s">
        <v>107</v>
      </c>
      <c r="C98" s="94">
        <v>294276372</v>
      </c>
      <c r="D98" s="94">
        <v>257397793</v>
      </c>
      <c r="E98" s="94">
        <v>804851296</v>
      </c>
      <c r="F98" s="124">
        <f t="shared" si="8"/>
        <v>4.582036356688677E-2</v>
      </c>
      <c r="G98" s="94">
        <v>135767968</v>
      </c>
      <c r="H98" s="94">
        <v>620019405</v>
      </c>
      <c r="I98" s="95">
        <v>360</v>
      </c>
      <c r="J98" s="106">
        <f t="shared" si="9"/>
        <v>78.830546408462808</v>
      </c>
      <c r="K98" s="177">
        <f t="shared" si="10"/>
        <v>508012008</v>
      </c>
      <c r="L98" s="94">
        <f>1782525+72449978</f>
        <v>74232503</v>
      </c>
      <c r="M98" s="94">
        <v>682041230</v>
      </c>
      <c r="N98" s="108">
        <f t="shared" si="11"/>
        <v>39.181943707420736</v>
      </c>
      <c r="O98" s="178">
        <f t="shared" si="12"/>
        <v>8.5798167550044653</v>
      </c>
      <c r="P98" s="179">
        <f t="shared" si="13"/>
        <v>109.43267336087908</v>
      </c>
      <c r="Q98" s="94">
        <v>510574924</v>
      </c>
      <c r="R98" s="94">
        <v>471324687</v>
      </c>
      <c r="S98" s="140">
        <f t="shared" si="14"/>
        <v>39250237</v>
      </c>
      <c r="T98" s="94">
        <v>508012008</v>
      </c>
      <c r="U98" s="94">
        <v>296839288</v>
      </c>
      <c r="V98" s="135">
        <f t="shared" si="15"/>
        <v>1.7114042127738833</v>
      </c>
    </row>
    <row r="99" spans="2:22" ht="31.5">
      <c r="B99" s="74" t="s">
        <v>108</v>
      </c>
      <c r="C99" s="94">
        <v>127287422486</v>
      </c>
      <c r="D99" s="94">
        <v>213482744909</v>
      </c>
      <c r="E99" s="94">
        <v>460539382206</v>
      </c>
      <c r="F99" s="124">
        <f t="shared" si="8"/>
        <v>-0.18716167553385193</v>
      </c>
      <c r="G99" s="94">
        <v>50916708614</v>
      </c>
      <c r="H99" s="94">
        <v>81280912404</v>
      </c>
      <c r="I99" s="95">
        <v>360</v>
      </c>
      <c r="J99" s="106">
        <f t="shared" si="9"/>
        <v>225.51438657494626</v>
      </c>
      <c r="K99" s="177">
        <f t="shared" si="10"/>
        <v>217565067467</v>
      </c>
      <c r="L99" s="94">
        <v>26197058195</v>
      </c>
      <c r="M99" s="94">
        <v>118260140704</v>
      </c>
      <c r="N99" s="108">
        <f t="shared" si="11"/>
        <v>79.747418648902482</v>
      </c>
      <c r="O99" s="178">
        <f t="shared" si="12"/>
        <v>49.956083882062977</v>
      </c>
      <c r="P99" s="179">
        <f t="shared" si="13"/>
        <v>255.30572134178576</v>
      </c>
      <c r="Q99" s="94">
        <v>333251959720</v>
      </c>
      <c r="R99" s="94">
        <v>352933237623</v>
      </c>
      <c r="S99" s="140">
        <f t="shared" si="14"/>
        <v>-19681277903</v>
      </c>
      <c r="T99" s="94">
        <v>217565067467</v>
      </c>
      <c r="U99" s="94">
        <v>242974314739</v>
      </c>
      <c r="V99" s="135">
        <f t="shared" si="15"/>
        <v>0.89542414267411641</v>
      </c>
    </row>
    <row r="100" spans="2:22" ht="33.75" customHeight="1">
      <c r="B100" s="74" t="s">
        <v>109</v>
      </c>
      <c r="C100" s="94">
        <v>310551201</v>
      </c>
      <c r="D100" s="94">
        <v>86301441</v>
      </c>
      <c r="E100" s="94">
        <v>367277907</v>
      </c>
      <c r="F100" s="124">
        <f t="shared" si="8"/>
        <v>0.61057241866715384</v>
      </c>
      <c r="G100" s="94">
        <v>88645422</v>
      </c>
      <c r="H100" s="94">
        <v>364943992</v>
      </c>
      <c r="I100" s="95">
        <v>360</v>
      </c>
      <c r="J100" s="106">
        <f t="shared" si="9"/>
        <v>87.444519212690594</v>
      </c>
      <c r="K100" s="177">
        <f t="shared" si="10"/>
        <v>226984420</v>
      </c>
      <c r="L100" s="94">
        <v>65668912</v>
      </c>
      <c r="M100" s="94">
        <v>418575192</v>
      </c>
      <c r="N100" s="108">
        <f t="shared" si="11"/>
        <v>56.479239027620153</v>
      </c>
      <c r="O100" s="178">
        <f t="shared" si="12"/>
        <v>13.718888617413542</v>
      </c>
      <c r="P100" s="179">
        <f t="shared" si="13"/>
        <v>130.20486962289721</v>
      </c>
      <c r="Q100" s="94">
        <v>132290021</v>
      </c>
      <c r="R100" s="94">
        <v>83042482</v>
      </c>
      <c r="S100" s="140">
        <f t="shared" si="14"/>
        <v>49247539</v>
      </c>
      <c r="T100" s="94">
        <v>226984420</v>
      </c>
      <c r="U100" s="94">
        <v>215856802</v>
      </c>
      <c r="V100" s="135">
        <f t="shared" si="15"/>
        <v>1.0515509258772398</v>
      </c>
    </row>
    <row r="101" spans="2:22" ht="31.5">
      <c r="B101" s="74" t="s">
        <v>110</v>
      </c>
      <c r="C101" s="143">
        <v>598254870</v>
      </c>
      <c r="D101" s="143">
        <v>831964891</v>
      </c>
      <c r="E101" s="143">
        <v>4878367904</v>
      </c>
      <c r="F101" s="124">
        <f t="shared" si="8"/>
        <v>-4.7907420186241043E-2</v>
      </c>
      <c r="G101" s="143">
        <v>309153529</v>
      </c>
      <c r="H101" s="143">
        <v>1482755666</v>
      </c>
      <c r="I101" s="95">
        <v>360</v>
      </c>
      <c r="J101" s="106">
        <f t="shared" si="9"/>
        <v>75.059750565808997</v>
      </c>
      <c r="K101" s="177">
        <f t="shared" si="10"/>
        <v>3482406080</v>
      </c>
      <c r="L101" s="143">
        <v>106170382</v>
      </c>
      <c r="M101" s="94">
        <v>1401541455</v>
      </c>
      <c r="N101" s="108">
        <f t="shared" si="11"/>
        <v>27.270929007233683</v>
      </c>
      <c r="O101" s="178">
        <f t="shared" si="12"/>
        <v>5.6859698027245704</v>
      </c>
      <c r="P101" s="179">
        <f t="shared" si="13"/>
        <v>96.644709770318116</v>
      </c>
      <c r="Q101" s="143">
        <v>4280113034</v>
      </c>
      <c r="R101" s="143">
        <v>3727137408</v>
      </c>
      <c r="S101" s="140">
        <f t="shared" si="14"/>
        <v>552975626</v>
      </c>
      <c r="T101" s="143">
        <v>3482406080</v>
      </c>
      <c r="U101" s="143">
        <v>1395961824</v>
      </c>
      <c r="V101" s="135">
        <f t="shared" si="15"/>
        <v>2.4946284490943214</v>
      </c>
    </row>
    <row r="102" spans="2:22" s="86" customFormat="1" ht="31.5">
      <c r="B102" s="89" t="s">
        <v>111</v>
      </c>
      <c r="C102" s="94">
        <v>851477572604</v>
      </c>
      <c r="D102" s="94">
        <v>718198051081</v>
      </c>
      <c r="E102" s="94">
        <v>1198193867892</v>
      </c>
      <c r="F102" s="124">
        <f t="shared" si="8"/>
        <v>0.11123368688030479</v>
      </c>
      <c r="G102" s="94">
        <v>445220208876</v>
      </c>
      <c r="H102" s="94">
        <v>823284082012</v>
      </c>
      <c r="I102" s="95">
        <v>360</v>
      </c>
      <c r="J102" s="106">
        <f t="shared" si="9"/>
        <v>194.6828302615279</v>
      </c>
      <c r="K102" s="177">
        <f t="shared" si="10"/>
        <v>798114824830</v>
      </c>
      <c r="L102" s="94">
        <v>250418607191</v>
      </c>
      <c r="M102" s="94">
        <v>1111051293008</v>
      </c>
      <c r="N102" s="108">
        <f t="shared" si="11"/>
        <v>81.13999700652063</v>
      </c>
      <c r="O102" s="178">
        <f t="shared" si="12"/>
        <v>43.879345179559273</v>
      </c>
      <c r="P102" s="179">
        <f t="shared" si="13"/>
        <v>231.94348208848925</v>
      </c>
      <c r="Q102" s="94">
        <v>346716295288</v>
      </c>
      <c r="R102" s="94">
        <v>326640002219</v>
      </c>
      <c r="S102" s="140">
        <f t="shared" si="14"/>
        <v>20076293069</v>
      </c>
      <c r="T102" s="94">
        <v>798114824830</v>
      </c>
      <c r="U102" s="94">
        <v>400079043512</v>
      </c>
      <c r="V102" s="135">
        <f t="shared" si="15"/>
        <v>1.9948928537319432</v>
      </c>
    </row>
    <row r="103" spans="2:22" ht="30" customHeight="1">
      <c r="B103" s="74" t="s">
        <v>112</v>
      </c>
      <c r="C103" s="94">
        <v>323137765</v>
      </c>
      <c r="D103" s="143">
        <v>67155332</v>
      </c>
      <c r="E103" s="94">
        <v>783346730</v>
      </c>
      <c r="F103" s="124">
        <f t="shared" si="8"/>
        <v>0.32678049603909115</v>
      </c>
      <c r="G103" s="143">
        <v>135788325</v>
      </c>
      <c r="H103" s="143">
        <v>488578225</v>
      </c>
      <c r="I103" s="95">
        <v>360</v>
      </c>
      <c r="J103" s="106">
        <f t="shared" si="9"/>
        <v>100.05316344173956</v>
      </c>
      <c r="K103" s="177">
        <f t="shared" si="10"/>
        <v>506605558</v>
      </c>
      <c r="L103" s="94">
        <f>80489933+21692006</f>
        <v>102181939</v>
      </c>
      <c r="M103" s="94">
        <v>631342874</v>
      </c>
      <c r="N103" s="108">
        <f t="shared" si="11"/>
        <v>58.265483867645585</v>
      </c>
      <c r="O103" s="178">
        <f t="shared" si="12"/>
        <v>16.193461056726623</v>
      </c>
      <c r="P103" s="179">
        <f t="shared" si="13"/>
        <v>142.12518625265852</v>
      </c>
      <c r="Q103" s="143">
        <v>460208965</v>
      </c>
      <c r="R103" s="143">
        <v>376774387</v>
      </c>
      <c r="S103" s="140">
        <f t="shared" si="14"/>
        <v>83434578</v>
      </c>
      <c r="T103" s="143">
        <v>506605558</v>
      </c>
      <c r="U103" s="94">
        <v>276741172</v>
      </c>
      <c r="V103" s="135">
        <f t="shared" si="15"/>
        <v>1.8306114494593526</v>
      </c>
    </row>
    <row r="104" spans="2:22" ht="31.5">
      <c r="B104" s="74" t="s">
        <v>113</v>
      </c>
      <c r="C104" s="94">
        <v>412696940471</v>
      </c>
      <c r="D104" s="94">
        <v>228149112195</v>
      </c>
      <c r="E104" s="94">
        <v>729020553284</v>
      </c>
      <c r="F104" s="124">
        <f t="shared" si="8"/>
        <v>0.25314489069570423</v>
      </c>
      <c r="G104" s="94">
        <v>60990413694</v>
      </c>
      <c r="H104" s="94">
        <v>214833539261</v>
      </c>
      <c r="I104" s="95">
        <v>360</v>
      </c>
      <c r="J104" s="106">
        <f t="shared" si="9"/>
        <v>102.20261233589378</v>
      </c>
      <c r="K104" s="177">
        <f t="shared" si="10"/>
        <v>239344544398</v>
      </c>
      <c r="L104" s="94">
        <v>49064926881</v>
      </c>
      <c r="M104" s="94">
        <v>258967329940</v>
      </c>
      <c r="N104" s="108">
        <f t="shared" si="11"/>
        <v>68.206957538823204</v>
      </c>
      <c r="O104" s="178">
        <f t="shared" si="12"/>
        <v>19.363692333197545</v>
      </c>
      <c r="P104" s="179">
        <f t="shared" si="13"/>
        <v>151.04587754151942</v>
      </c>
      <c r="Q104" s="94">
        <v>316323612813</v>
      </c>
      <c r="R104" s="94">
        <v>318769811984</v>
      </c>
      <c r="S104" s="140">
        <f t="shared" si="14"/>
        <v>-2446199171</v>
      </c>
      <c r="T104" s="94">
        <v>239344544398</v>
      </c>
      <c r="U104" s="94">
        <v>489676008886</v>
      </c>
      <c r="V104" s="135">
        <f t="shared" si="15"/>
        <v>0.48878143926736889</v>
      </c>
    </row>
    <row r="105" spans="2:22" ht="31.5">
      <c r="B105" s="74" t="s">
        <v>114</v>
      </c>
      <c r="C105" s="94">
        <v>377319537345</v>
      </c>
      <c r="D105" s="94">
        <v>332510082788</v>
      </c>
      <c r="E105" s="94">
        <v>721884167684</v>
      </c>
      <c r="F105" s="124">
        <f t="shared" si="8"/>
        <v>6.2072914967453673E-2</v>
      </c>
      <c r="G105" s="94">
        <v>323426229333</v>
      </c>
      <c r="H105" s="94">
        <v>504827107491</v>
      </c>
      <c r="I105" s="95">
        <v>360</v>
      </c>
      <c r="J105" s="106">
        <f t="shared" si="9"/>
        <v>230.64023471036717</v>
      </c>
      <c r="K105" s="177">
        <f t="shared" si="10"/>
        <v>477792694823</v>
      </c>
      <c r="L105" s="94">
        <v>50717553591</v>
      </c>
      <c r="M105" s="94">
        <v>506180498366</v>
      </c>
      <c r="N105" s="108">
        <f t="shared" si="11"/>
        <v>36.070767940882021</v>
      </c>
      <c r="O105" s="178">
        <f t="shared" si="12"/>
        <v>23.109362177967267</v>
      </c>
      <c r="P105" s="179">
        <f t="shared" si="13"/>
        <v>243.60164047328195</v>
      </c>
      <c r="Q105" s="94">
        <v>344564630339</v>
      </c>
      <c r="R105" s="94">
        <v>374878000649</v>
      </c>
      <c r="S105" s="140">
        <f t="shared" si="14"/>
        <v>-30313370310</v>
      </c>
      <c r="T105" s="94">
        <v>477792694823</v>
      </c>
      <c r="U105" s="94">
        <v>244091472861</v>
      </c>
      <c r="V105" s="135">
        <f t="shared" si="15"/>
        <v>1.9574329624168525</v>
      </c>
    </row>
    <row r="106" spans="2:22" ht="31.5">
      <c r="B106" s="74" t="s">
        <v>115</v>
      </c>
      <c r="C106" s="94">
        <v>70935722</v>
      </c>
      <c r="D106" s="143">
        <v>23380573</v>
      </c>
      <c r="E106" s="94">
        <v>315020865</v>
      </c>
      <c r="F106" s="124">
        <f t="shared" si="8"/>
        <v>0.15095872776554023</v>
      </c>
      <c r="G106" s="94">
        <v>38856079</v>
      </c>
      <c r="H106" s="143">
        <v>181756704</v>
      </c>
      <c r="I106" s="95">
        <v>360</v>
      </c>
      <c r="J106" s="106">
        <f t="shared" si="9"/>
        <v>76.961059108994405</v>
      </c>
      <c r="K106" s="177">
        <f t="shared" si="10"/>
        <v>29644011</v>
      </c>
      <c r="L106" s="143">
        <v>21666208</v>
      </c>
      <c r="M106" s="94">
        <v>184645789</v>
      </c>
      <c r="N106" s="108">
        <f t="shared" si="11"/>
        <v>42.242148722925926</v>
      </c>
      <c r="O106" s="178">
        <f t="shared" si="12"/>
        <v>9.0305569576556515</v>
      </c>
      <c r="P106" s="179">
        <f t="shared" si="13"/>
        <v>110.17265087426469</v>
      </c>
      <c r="Q106" s="143">
        <v>244085143</v>
      </c>
      <c r="R106" s="143">
        <v>252598961</v>
      </c>
      <c r="S106" s="140">
        <f t="shared" si="14"/>
        <v>-8513818</v>
      </c>
      <c r="T106" s="143">
        <v>29644011</v>
      </c>
      <c r="U106" s="143">
        <v>285376854</v>
      </c>
      <c r="V106" s="135">
        <f t="shared" si="15"/>
        <v>0.103876718046657</v>
      </c>
    </row>
    <row r="107" spans="2:22" ht="31.5">
      <c r="B107" s="74" t="s">
        <v>116</v>
      </c>
      <c r="C107" s="94">
        <v>428277334914</v>
      </c>
      <c r="D107" s="94">
        <v>226897001062</v>
      </c>
      <c r="E107" s="94">
        <v>574346433075</v>
      </c>
      <c r="F107" s="124">
        <f t="shared" si="8"/>
        <v>0.35062520154225996</v>
      </c>
      <c r="G107" s="94">
        <v>194554840234</v>
      </c>
      <c r="H107" s="94">
        <v>639374267782</v>
      </c>
      <c r="I107" s="95">
        <v>360</v>
      </c>
      <c r="J107" s="106">
        <f t="shared" si="9"/>
        <v>109.5441997176537</v>
      </c>
      <c r="K107" s="177">
        <f t="shared" si="10"/>
        <v>245138356170</v>
      </c>
      <c r="L107" s="94">
        <f>127873007148+3524345612</f>
        <v>131397352760</v>
      </c>
      <c r="M107" s="94">
        <v>859743472895</v>
      </c>
      <c r="N107" s="108">
        <f t="shared" si="11"/>
        <v>55.01995477129617</v>
      </c>
      <c r="O107" s="178">
        <f t="shared" si="12"/>
        <v>16.741991427564283</v>
      </c>
      <c r="P107" s="179">
        <f t="shared" si="13"/>
        <v>147.8221630613856</v>
      </c>
      <c r="Q107" s="144">
        <v>146069098161</v>
      </c>
      <c r="R107" s="94">
        <v>134067494492</v>
      </c>
      <c r="S107" s="140">
        <f t="shared" si="14"/>
        <v>12001603669</v>
      </c>
      <c r="T107" s="94">
        <v>245138356170</v>
      </c>
      <c r="U107" s="94">
        <v>329208076905</v>
      </c>
      <c r="V107" s="135">
        <f t="shared" si="15"/>
        <v>0.74463044307609705</v>
      </c>
    </row>
    <row r="108" spans="2:22" ht="15.75">
      <c r="B108" s="73" t="s">
        <v>117</v>
      </c>
      <c r="C108" s="94"/>
      <c r="D108" s="94"/>
      <c r="E108" s="94"/>
      <c r="F108" s="124" t="e">
        <f t="shared" si="8"/>
        <v>#DIV/0!</v>
      </c>
      <c r="G108" s="94"/>
      <c r="H108" s="94"/>
      <c r="I108" s="94"/>
      <c r="J108" s="106" t="e">
        <f t="shared" si="9"/>
        <v>#DIV/0!</v>
      </c>
      <c r="K108" s="177">
        <f t="shared" si="10"/>
        <v>0</v>
      </c>
      <c r="L108" s="94"/>
      <c r="M108" s="94"/>
      <c r="N108" s="108" t="e">
        <f t="shared" si="11"/>
        <v>#DIV/0!</v>
      </c>
      <c r="O108" s="178" t="e">
        <f t="shared" si="12"/>
        <v>#DIV/0!</v>
      </c>
      <c r="P108" s="179" t="e">
        <f t="shared" si="13"/>
        <v>#DIV/0!</v>
      </c>
      <c r="Q108" s="94"/>
      <c r="R108" s="94"/>
      <c r="S108" s="140">
        <f t="shared" si="14"/>
        <v>0</v>
      </c>
      <c r="T108" s="94"/>
      <c r="U108" s="94"/>
      <c r="V108" s="135" t="e">
        <f t="shared" si="15"/>
        <v>#DIV/0!</v>
      </c>
    </row>
    <row r="109" spans="2:22" ht="31.5">
      <c r="B109" s="74" t="s">
        <v>118</v>
      </c>
      <c r="C109" s="94">
        <v>83401850883</v>
      </c>
      <c r="D109" s="94">
        <v>89655828325</v>
      </c>
      <c r="E109" s="94">
        <v>99558394760</v>
      </c>
      <c r="F109" s="124">
        <f t="shared" si="8"/>
        <v>-6.2817178371307847E-2</v>
      </c>
      <c r="G109" s="94">
        <v>34651722560</v>
      </c>
      <c r="H109" s="94">
        <v>153501966971</v>
      </c>
      <c r="I109" s="95">
        <v>360</v>
      </c>
      <c r="J109" s="106">
        <f t="shared" si="9"/>
        <v>81.266842163375912</v>
      </c>
      <c r="K109" s="177">
        <f t="shared" si="10"/>
        <v>301570909687</v>
      </c>
      <c r="L109" s="94">
        <v>15825508503</v>
      </c>
      <c r="M109" s="94">
        <v>222363830677</v>
      </c>
      <c r="N109" s="108">
        <f t="shared" si="11"/>
        <v>25.620997100718157</v>
      </c>
      <c r="O109" s="178">
        <f t="shared" si="12"/>
        <v>5.7837153540343733</v>
      </c>
      <c r="P109" s="179">
        <f t="shared" si="13"/>
        <v>101.1041239100597</v>
      </c>
      <c r="Q109" s="94">
        <v>16156543877</v>
      </c>
      <c r="R109" s="94">
        <v>17658088788</v>
      </c>
      <c r="S109" s="140">
        <f t="shared" si="14"/>
        <v>-1501544911</v>
      </c>
      <c r="T109" s="94">
        <v>301570909687</v>
      </c>
      <c r="U109" s="94">
        <v>-202012514927</v>
      </c>
      <c r="V109" s="135">
        <f t="shared" si="15"/>
        <v>-1.4928328068980121</v>
      </c>
    </row>
    <row r="110" spans="2:22" ht="31.5" customHeight="1">
      <c r="B110" s="74" t="s">
        <v>119</v>
      </c>
      <c r="C110" s="94">
        <v>521210881</v>
      </c>
      <c r="D110" s="94">
        <v>210931517</v>
      </c>
      <c r="E110" s="94">
        <v>795257974</v>
      </c>
      <c r="F110" s="124">
        <f t="shared" si="8"/>
        <v>0.39016190235647985</v>
      </c>
      <c r="G110" s="94">
        <v>282546591</v>
      </c>
      <c r="H110" s="94">
        <v>622099195</v>
      </c>
      <c r="I110" s="95">
        <v>360</v>
      </c>
      <c r="J110" s="106">
        <f t="shared" si="9"/>
        <v>163.50571352210156</v>
      </c>
      <c r="K110" s="177">
        <f t="shared" si="10"/>
        <v>248070766</v>
      </c>
      <c r="L110" s="94">
        <f>27067308+4469314</f>
        <v>31536622</v>
      </c>
      <c r="M110" s="94">
        <v>1028850578</v>
      </c>
      <c r="N110" s="108">
        <f t="shared" si="11"/>
        <v>11.034822901173508</v>
      </c>
      <c r="O110" s="178">
        <f t="shared" si="12"/>
        <v>5.0118238667955586</v>
      </c>
      <c r="P110" s="179">
        <f t="shared" si="13"/>
        <v>169.52871255647949</v>
      </c>
      <c r="Q110" s="94">
        <v>274047093</v>
      </c>
      <c r="R110" s="94">
        <v>284015199</v>
      </c>
      <c r="S110" s="140">
        <f t="shared" si="14"/>
        <v>-9968106</v>
      </c>
      <c r="T110" s="94">
        <v>248070766</v>
      </c>
      <c r="U110" s="94">
        <v>547187208</v>
      </c>
      <c r="V110" s="135">
        <f t="shared" si="15"/>
        <v>0.45335629629704355</v>
      </c>
    </row>
    <row r="111" spans="2:22" ht="15.75">
      <c r="B111" s="80" t="s">
        <v>120</v>
      </c>
      <c r="C111" s="94"/>
      <c r="D111" s="94"/>
      <c r="E111" s="94"/>
      <c r="F111" s="124" t="e">
        <f t="shared" si="8"/>
        <v>#DIV/0!</v>
      </c>
      <c r="G111" s="94"/>
      <c r="H111" s="94"/>
      <c r="I111" s="94"/>
      <c r="J111" s="106" t="e">
        <f t="shared" si="9"/>
        <v>#DIV/0!</v>
      </c>
      <c r="K111" s="177">
        <f t="shared" si="10"/>
        <v>0</v>
      </c>
      <c r="L111" s="94"/>
      <c r="M111" s="94"/>
      <c r="N111" s="108" t="e">
        <f t="shared" si="11"/>
        <v>#DIV/0!</v>
      </c>
      <c r="O111" s="178" t="e">
        <f t="shared" si="12"/>
        <v>#DIV/0!</v>
      </c>
      <c r="P111" s="179" t="e">
        <f t="shared" si="13"/>
        <v>#DIV/0!</v>
      </c>
      <c r="Q111" s="94"/>
      <c r="R111" s="94"/>
      <c r="S111" s="140">
        <f t="shared" si="14"/>
        <v>0</v>
      </c>
      <c r="T111" s="94"/>
      <c r="U111" s="94"/>
      <c r="V111" s="135" t="e">
        <f t="shared" si="15"/>
        <v>#DIV/0!</v>
      </c>
    </row>
    <row r="112" spans="2:22" ht="31.5">
      <c r="B112" s="74" t="s">
        <v>121</v>
      </c>
      <c r="C112" s="94">
        <v>927492569</v>
      </c>
      <c r="D112" s="94">
        <v>883284008</v>
      </c>
      <c r="E112" s="94">
        <v>1358464081</v>
      </c>
      <c r="F112" s="124">
        <f t="shared" si="8"/>
        <v>3.2543047415325807E-2</v>
      </c>
      <c r="G112" s="94">
        <v>341529516</v>
      </c>
      <c r="H112" s="94">
        <v>1478752662</v>
      </c>
      <c r="I112" s="95">
        <v>360</v>
      </c>
      <c r="J112" s="106">
        <f t="shared" si="9"/>
        <v>83.144821253413909</v>
      </c>
      <c r="K112" s="177">
        <f t="shared" si="10"/>
        <v>990707822</v>
      </c>
      <c r="L112" s="94">
        <f>364814864+99619104</f>
        <v>464433968</v>
      </c>
      <c r="M112" s="94">
        <v>1663335876</v>
      </c>
      <c r="N112" s="108">
        <f t="shared" si="11"/>
        <v>100.51862097874933</v>
      </c>
      <c r="O112" s="178">
        <f t="shared" si="12"/>
        <v>23.215563260882707</v>
      </c>
      <c r="P112" s="179">
        <f t="shared" si="13"/>
        <v>160.44787897128052</v>
      </c>
      <c r="Q112" s="94">
        <v>430971512</v>
      </c>
      <c r="R112" s="94">
        <v>190943971</v>
      </c>
      <c r="S112" s="140">
        <f t="shared" si="14"/>
        <v>240027541</v>
      </c>
      <c r="T112" s="94">
        <v>990707822</v>
      </c>
      <c r="U112" s="94">
        <v>367756259</v>
      </c>
      <c r="V112" s="135">
        <f t="shared" si="15"/>
        <v>2.6939251141338154</v>
      </c>
    </row>
    <row r="113" spans="2:22" ht="31.5">
      <c r="B113" s="74" t="s">
        <v>122</v>
      </c>
      <c r="C113" s="94">
        <v>362277745626</v>
      </c>
      <c r="D113" s="94">
        <v>342643691341</v>
      </c>
      <c r="E113" s="94">
        <v>654385717061</v>
      </c>
      <c r="F113" s="124">
        <f t="shared" si="8"/>
        <v>3.0003794051589559E-2</v>
      </c>
      <c r="G113" s="94">
        <v>137507066544</v>
      </c>
      <c r="H113" s="94">
        <v>870095238042</v>
      </c>
      <c r="I113" s="95">
        <v>360</v>
      </c>
      <c r="J113" s="106">
        <f t="shared" si="9"/>
        <v>56.893247763586182</v>
      </c>
      <c r="K113" s="177">
        <f t="shared" si="10"/>
        <v>357910337055</v>
      </c>
      <c r="L113" s="94">
        <f>299090000+188083067321</f>
        <v>188382157321</v>
      </c>
      <c r="M113" s="94">
        <v>967710339797</v>
      </c>
      <c r="N113" s="108">
        <f t="shared" si="11"/>
        <v>70.080450571383096</v>
      </c>
      <c r="O113" s="178">
        <f t="shared" si="12"/>
        <v>11.075290104837372</v>
      </c>
      <c r="P113" s="179">
        <f t="shared" si="13"/>
        <v>115.89840823013191</v>
      </c>
      <c r="Q113" s="94">
        <v>292107971435</v>
      </c>
      <c r="R113" s="94">
        <v>290948269255</v>
      </c>
      <c r="S113" s="140">
        <f t="shared" si="14"/>
        <v>1159702180</v>
      </c>
      <c r="T113" s="94">
        <v>357910337055</v>
      </c>
      <c r="U113" s="94">
        <v>296475380006</v>
      </c>
      <c r="V113" s="135">
        <f t="shared" si="15"/>
        <v>1.2072177360823577</v>
      </c>
    </row>
    <row r="114" spans="2:22" ht="31.5">
      <c r="B114" s="74" t="s">
        <v>123</v>
      </c>
      <c r="C114" s="94">
        <v>961562673606</v>
      </c>
      <c r="D114" s="94">
        <v>337673717786</v>
      </c>
      <c r="E114" s="94">
        <v>1551799840976</v>
      </c>
      <c r="F114" s="124">
        <f t="shared" si="8"/>
        <v>0.40204215733622378</v>
      </c>
      <c r="G114" s="94">
        <v>294194627877</v>
      </c>
      <c r="H114" s="94">
        <v>2376780683824</v>
      </c>
      <c r="I114" s="95">
        <v>360</v>
      </c>
      <c r="J114" s="106">
        <f t="shared" si="9"/>
        <v>44.560302410957583</v>
      </c>
      <c r="K114" s="177">
        <f t="shared" si="10"/>
        <v>524437909934</v>
      </c>
      <c r="L114" s="94">
        <v>535948929741</v>
      </c>
      <c r="M114" s="94">
        <v>2662038531021</v>
      </c>
      <c r="N114" s="108">
        <f t="shared" si="11"/>
        <v>72.478896326402548</v>
      </c>
      <c r="O114" s="178">
        <f t="shared" si="12"/>
        <v>8.9713376075470563</v>
      </c>
      <c r="P114" s="179">
        <f t="shared" si="13"/>
        <v>108.06786112981307</v>
      </c>
      <c r="Q114" s="94">
        <v>590237167370</v>
      </c>
      <c r="R114" s="94">
        <v>489135696863</v>
      </c>
      <c r="S114" s="140">
        <f t="shared" si="14"/>
        <v>101101470507</v>
      </c>
      <c r="T114" s="94">
        <f>337673717786+186764192148</f>
        <v>524437909934</v>
      </c>
      <c r="U114" s="94">
        <v>1027361931042</v>
      </c>
      <c r="V114" s="135">
        <f t="shared" si="15"/>
        <v>0.5104704526106878</v>
      </c>
    </row>
    <row r="115" spans="2:22" ht="31.5">
      <c r="B115" s="74" t="s">
        <v>124</v>
      </c>
      <c r="C115" s="129">
        <v>51674591</v>
      </c>
      <c r="D115" s="94">
        <v>10508398</v>
      </c>
      <c r="E115" s="94">
        <v>75507152</v>
      </c>
      <c r="F115" s="124">
        <f t="shared" si="8"/>
        <v>0.54519594382264613</v>
      </c>
      <c r="G115" s="94">
        <v>15577121</v>
      </c>
      <c r="H115" s="94">
        <v>141934650</v>
      </c>
      <c r="I115" s="95">
        <v>360</v>
      </c>
      <c r="J115" s="106">
        <f t="shared" si="9"/>
        <v>39.509475381804229</v>
      </c>
      <c r="K115" s="177">
        <f t="shared" si="10"/>
        <v>14041892</v>
      </c>
      <c r="L115" s="94">
        <f>10367080+11428070</f>
        <v>21795150</v>
      </c>
      <c r="M115" s="94">
        <v>150390416</v>
      </c>
      <c r="N115" s="108">
        <f t="shared" si="11"/>
        <v>52.172566634831306</v>
      </c>
      <c r="O115" s="178">
        <f t="shared" si="12"/>
        <v>5.7258631585122446</v>
      </c>
      <c r="P115" s="179">
        <f t="shared" si="13"/>
        <v>85.956178858123295</v>
      </c>
      <c r="Q115" s="94">
        <v>23832561</v>
      </c>
      <c r="R115" s="94">
        <v>23265606</v>
      </c>
      <c r="S115" s="140">
        <f t="shared" si="14"/>
        <v>566955</v>
      </c>
      <c r="T115" s="94">
        <v>14041892</v>
      </c>
      <c r="U115" s="94">
        <v>61465260</v>
      </c>
      <c r="V115" s="135">
        <f t="shared" si="15"/>
        <v>0.22845249495406023</v>
      </c>
    </row>
    <row r="116" spans="2:22" ht="47.25">
      <c r="B116" s="74" t="s">
        <v>125</v>
      </c>
      <c r="C116" s="94">
        <v>1380917436620</v>
      </c>
      <c r="D116" s="94">
        <v>826026927582</v>
      </c>
      <c r="E116" s="94">
        <v>1773144328632</v>
      </c>
      <c r="F116" s="124">
        <f t="shared" si="8"/>
        <v>0.3129415355974457</v>
      </c>
      <c r="G116" s="94">
        <v>293477384474</v>
      </c>
      <c r="H116" s="94">
        <v>3193857567003</v>
      </c>
      <c r="I116" s="95">
        <v>360</v>
      </c>
      <c r="J116" s="106">
        <f t="shared" si="9"/>
        <v>33.079702583537518</v>
      </c>
      <c r="K116" s="177">
        <f t="shared" si="10"/>
        <v>850791824810</v>
      </c>
      <c r="L116" s="94">
        <f>258073958313+454830643161</f>
        <v>712904601474</v>
      </c>
      <c r="M116" s="94">
        <v>3533081041052</v>
      </c>
      <c r="N116" s="108">
        <f t="shared" si="11"/>
        <v>72.640749971085285</v>
      </c>
      <c r="O116" s="178">
        <f t="shared" si="12"/>
        <v>6.6748177902461459</v>
      </c>
      <c r="P116" s="179">
        <f t="shared" si="13"/>
        <v>99.045634764376643</v>
      </c>
      <c r="Q116" s="94">
        <v>392226892012</v>
      </c>
      <c r="R116" s="94">
        <v>362230467707</v>
      </c>
      <c r="S116" s="140">
        <f t="shared" si="14"/>
        <v>29996424305</v>
      </c>
      <c r="T116" s="94">
        <v>850791824810</v>
      </c>
      <c r="U116" s="94">
        <v>922352503822</v>
      </c>
      <c r="V116" s="135">
        <f t="shared" si="15"/>
        <v>0.92241504336414737</v>
      </c>
    </row>
    <row r="117" spans="2:22" ht="31.5">
      <c r="B117" s="74" t="s">
        <v>126</v>
      </c>
      <c r="C117" s="94">
        <v>1151962694102</v>
      </c>
      <c r="D117" s="94">
        <v>986156352701</v>
      </c>
      <c r="E117" s="94">
        <v>1536244634556</v>
      </c>
      <c r="F117" s="124">
        <f t="shared" si="8"/>
        <v>0.10792964718729238</v>
      </c>
      <c r="G117" s="94">
        <v>428533328072</v>
      </c>
      <c r="H117" s="94">
        <v>1356439679407</v>
      </c>
      <c r="I117" s="95">
        <v>360</v>
      </c>
      <c r="J117" s="106">
        <f t="shared" si="9"/>
        <v>113.73303247319016</v>
      </c>
      <c r="K117" s="177">
        <f t="shared" si="10"/>
        <v>1026591706684</v>
      </c>
      <c r="L117" s="94">
        <f>490998775676+55127468000</f>
        <v>546126243676</v>
      </c>
      <c r="M117" s="94">
        <v>1597736461981</v>
      </c>
      <c r="N117" s="108">
        <f t="shared" si="11"/>
        <v>123.05248856847957</v>
      </c>
      <c r="O117" s="178">
        <f t="shared" si="12"/>
        <v>38.875368550738195</v>
      </c>
      <c r="P117" s="179">
        <f t="shared" si="13"/>
        <v>197.91015249093155</v>
      </c>
      <c r="Q117" s="94">
        <v>451212357660</v>
      </c>
      <c r="R117" s="94">
        <v>396914988704</v>
      </c>
      <c r="S117" s="140">
        <f t="shared" si="14"/>
        <v>54297368956</v>
      </c>
      <c r="T117" s="94">
        <v>1026591706684</v>
      </c>
      <c r="U117" s="94">
        <v>509652927872</v>
      </c>
      <c r="V117" s="135">
        <f t="shared" si="15"/>
        <v>2.0142957109467048</v>
      </c>
    </row>
    <row r="118" spans="2:22" ht="15.75">
      <c r="B118" s="80" t="s">
        <v>127</v>
      </c>
      <c r="C118" s="94"/>
      <c r="D118" s="94"/>
      <c r="E118" s="94"/>
      <c r="F118" s="124" t="e">
        <f t="shared" si="8"/>
        <v>#DIV/0!</v>
      </c>
      <c r="G118" s="94"/>
      <c r="H118" s="94"/>
      <c r="I118" s="95">
        <v>360</v>
      </c>
      <c r="J118" s="106" t="e">
        <f t="shared" si="9"/>
        <v>#DIV/0!</v>
      </c>
      <c r="K118" s="177">
        <f t="shared" si="10"/>
        <v>0</v>
      </c>
      <c r="L118" s="94"/>
      <c r="M118" s="94"/>
      <c r="N118" s="108" t="e">
        <f t="shared" si="11"/>
        <v>#DIV/0!</v>
      </c>
      <c r="O118" s="178" t="e">
        <f t="shared" si="12"/>
        <v>#DIV/0!</v>
      </c>
      <c r="P118" s="179" t="e">
        <f t="shared" si="13"/>
        <v>#DIV/0!</v>
      </c>
      <c r="Q118" s="94"/>
      <c r="R118" s="94"/>
      <c r="S118" s="140">
        <f t="shared" si="14"/>
        <v>0</v>
      </c>
      <c r="T118" s="94"/>
      <c r="U118" s="94"/>
      <c r="V118" s="135" t="e">
        <f t="shared" si="15"/>
        <v>#DIV/0!</v>
      </c>
    </row>
    <row r="119" spans="2:22" ht="31.5">
      <c r="B119" s="74" t="s">
        <v>128</v>
      </c>
      <c r="C119" s="94">
        <v>30035085</v>
      </c>
      <c r="D119" s="94">
        <v>11385834</v>
      </c>
      <c r="E119" s="94">
        <v>63515533</v>
      </c>
      <c r="F119" s="124">
        <f t="shared" si="8"/>
        <v>0.29361716920489356</v>
      </c>
      <c r="G119" s="94">
        <v>11137012</v>
      </c>
      <c r="H119" s="94">
        <v>82520909</v>
      </c>
      <c r="I119" s="95">
        <v>360</v>
      </c>
      <c r="J119" s="106">
        <f t="shared" si="9"/>
        <v>48.585556904129596</v>
      </c>
      <c r="K119" s="177">
        <f t="shared" si="10"/>
        <v>14448536</v>
      </c>
      <c r="L119" s="94">
        <v>7984086</v>
      </c>
      <c r="M119" s="94">
        <v>82051779</v>
      </c>
      <c r="N119" s="108">
        <f t="shared" si="11"/>
        <v>35.02996516382661</v>
      </c>
      <c r="O119" s="178">
        <f t="shared" si="12"/>
        <v>4.7276399050465985</v>
      </c>
      <c r="P119" s="179">
        <f t="shared" si="13"/>
        <v>78.887882162909605</v>
      </c>
      <c r="Q119" s="94">
        <v>33480448</v>
      </c>
      <c r="R119" s="94">
        <v>31928717</v>
      </c>
      <c r="S119" s="140">
        <f t="shared" si="14"/>
        <v>1551731</v>
      </c>
      <c r="T119" s="94">
        <v>14448536</v>
      </c>
      <c r="U119" s="94">
        <v>49066997</v>
      </c>
      <c r="V119" s="135">
        <f t="shared" si="15"/>
        <v>0.2944654632114535</v>
      </c>
    </row>
    <row r="120" spans="2:22" ht="15.75">
      <c r="B120" s="90"/>
      <c r="C120" s="152"/>
      <c r="D120" s="152"/>
      <c r="E120" s="152"/>
      <c r="F120" s="124" t="e">
        <f t="shared" si="8"/>
        <v>#DIV/0!</v>
      </c>
      <c r="G120" s="152"/>
      <c r="H120" s="152"/>
      <c r="I120" s="94"/>
      <c r="J120" s="106" t="e">
        <f t="shared" si="9"/>
        <v>#DIV/0!</v>
      </c>
      <c r="K120" s="177">
        <f t="shared" si="10"/>
        <v>0</v>
      </c>
      <c r="L120" s="152"/>
      <c r="M120" s="152"/>
      <c r="N120" s="108" t="e">
        <f t="shared" si="11"/>
        <v>#DIV/0!</v>
      </c>
      <c r="O120" s="178" t="e">
        <f t="shared" si="12"/>
        <v>#DIV/0!</v>
      </c>
      <c r="P120" s="179" t="e">
        <f t="shared" si="13"/>
        <v>#DIV/0!</v>
      </c>
      <c r="Q120" s="152"/>
      <c r="R120" s="152"/>
      <c r="S120" s="140">
        <f t="shared" si="14"/>
        <v>0</v>
      </c>
      <c r="T120" s="152"/>
      <c r="U120" s="152"/>
      <c r="V120" s="135" t="e">
        <f t="shared" si="15"/>
        <v>#DIV/0!</v>
      </c>
    </row>
    <row r="121" spans="2:22" ht="15.75">
      <c r="B121" s="91"/>
      <c r="C121" s="153"/>
      <c r="D121" s="153"/>
      <c r="E121" s="153"/>
      <c r="F121" s="124" t="e">
        <f t="shared" si="8"/>
        <v>#DIV/0!</v>
      </c>
      <c r="G121" s="153"/>
      <c r="H121" s="153"/>
      <c r="I121" s="94"/>
      <c r="J121" s="106" t="e">
        <f t="shared" si="9"/>
        <v>#DIV/0!</v>
      </c>
      <c r="K121" s="177">
        <f t="shared" si="10"/>
        <v>0</v>
      </c>
      <c r="L121" s="153"/>
      <c r="M121" s="153"/>
      <c r="N121" s="108" t="e">
        <f t="shared" si="11"/>
        <v>#DIV/0!</v>
      </c>
      <c r="O121" s="178" t="e">
        <f t="shared" si="12"/>
        <v>#DIV/0!</v>
      </c>
      <c r="P121" s="179" t="e">
        <f t="shared" si="13"/>
        <v>#DIV/0!</v>
      </c>
      <c r="Q121" s="153"/>
      <c r="R121" s="153"/>
      <c r="S121" s="140">
        <f t="shared" si="14"/>
        <v>0</v>
      </c>
      <c r="T121" s="153"/>
      <c r="U121" s="153"/>
      <c r="V121" s="135" t="e">
        <f t="shared" si="15"/>
        <v>#DIV/0!</v>
      </c>
    </row>
    <row r="122" spans="2:22" ht="47.25">
      <c r="B122" s="92" t="s">
        <v>129</v>
      </c>
      <c r="C122" s="94"/>
      <c r="D122" s="94"/>
      <c r="E122" s="94"/>
      <c r="F122" s="124" t="e">
        <f t="shared" si="8"/>
        <v>#DIV/0!</v>
      </c>
      <c r="G122" s="94"/>
      <c r="H122" s="94"/>
      <c r="I122" s="94"/>
      <c r="J122" s="106" t="e">
        <f t="shared" si="9"/>
        <v>#DIV/0!</v>
      </c>
      <c r="K122" s="177">
        <f t="shared" si="10"/>
        <v>0</v>
      </c>
      <c r="L122" s="94"/>
      <c r="M122" s="94"/>
      <c r="N122" s="108" t="e">
        <f t="shared" si="11"/>
        <v>#DIV/0!</v>
      </c>
      <c r="O122" s="178" t="e">
        <f t="shared" si="12"/>
        <v>#DIV/0!</v>
      </c>
      <c r="P122" s="179" t="e">
        <f t="shared" si="13"/>
        <v>#DIV/0!</v>
      </c>
      <c r="Q122" s="94"/>
      <c r="R122" s="94"/>
      <c r="S122" s="140">
        <f t="shared" si="14"/>
        <v>0</v>
      </c>
      <c r="T122" s="94"/>
      <c r="U122" s="94"/>
      <c r="V122" s="135" t="e">
        <f t="shared" si="15"/>
        <v>#DIV/0!</v>
      </c>
    </row>
    <row r="123" spans="2:22" ht="31.5">
      <c r="B123" s="71" t="s">
        <v>130</v>
      </c>
      <c r="C123" s="94"/>
      <c r="D123" s="94"/>
      <c r="E123" s="94"/>
      <c r="F123" s="124" t="e">
        <f t="shared" si="8"/>
        <v>#DIV/0!</v>
      </c>
      <c r="G123" s="94"/>
      <c r="H123" s="94"/>
      <c r="I123" s="94"/>
      <c r="J123" s="106" t="e">
        <f t="shared" si="9"/>
        <v>#DIV/0!</v>
      </c>
      <c r="K123" s="177">
        <f t="shared" si="10"/>
        <v>0</v>
      </c>
      <c r="L123" s="94"/>
      <c r="M123" s="94"/>
      <c r="N123" s="108" t="e">
        <f t="shared" si="11"/>
        <v>#DIV/0!</v>
      </c>
      <c r="O123" s="178" t="e">
        <f t="shared" si="12"/>
        <v>#DIV/0!</v>
      </c>
      <c r="P123" s="179" t="e">
        <f t="shared" si="13"/>
        <v>#DIV/0!</v>
      </c>
      <c r="Q123" s="94"/>
      <c r="R123" s="94"/>
      <c r="S123" s="140">
        <f t="shared" si="14"/>
        <v>0</v>
      </c>
      <c r="T123" s="94"/>
      <c r="U123" s="94"/>
      <c r="V123" s="135" t="e">
        <f t="shared" si="15"/>
        <v>#DIV/0!</v>
      </c>
    </row>
    <row r="124" spans="2:22" ht="37.5" customHeight="1">
      <c r="B124" s="74" t="s">
        <v>131</v>
      </c>
      <c r="C124" s="94">
        <v>902006833</v>
      </c>
      <c r="D124" s="94">
        <v>140419495</v>
      </c>
      <c r="E124" s="94">
        <v>1038321916</v>
      </c>
      <c r="F124" s="124">
        <f t="shared" si="8"/>
        <v>0.73347901673299554</v>
      </c>
      <c r="G124" s="94">
        <v>181162743</v>
      </c>
      <c r="H124" s="94">
        <v>233153268</v>
      </c>
      <c r="I124" s="95">
        <v>360</v>
      </c>
      <c r="J124" s="106">
        <f t="shared" si="9"/>
        <v>279.72409754085027</v>
      </c>
      <c r="K124" s="177">
        <f t="shared" si="10"/>
        <v>188700435</v>
      </c>
      <c r="L124" s="94">
        <f>176094+148113250</f>
        <v>148289344</v>
      </c>
      <c r="M124" s="94">
        <v>1573137749</v>
      </c>
      <c r="N124" s="108">
        <f t="shared" si="11"/>
        <v>33.934831119483867</v>
      </c>
      <c r="O124" s="178">
        <f t="shared" si="12"/>
        <v>26.367750028052185</v>
      </c>
      <c r="P124" s="179">
        <f t="shared" si="13"/>
        <v>287.29117863228197</v>
      </c>
      <c r="Q124" s="94">
        <v>136315083</v>
      </c>
      <c r="R124" s="94">
        <v>139130038</v>
      </c>
      <c r="S124" s="140">
        <f t="shared" si="14"/>
        <v>-2814955</v>
      </c>
      <c r="T124" s="94">
        <v>188700435</v>
      </c>
      <c r="U124" s="94">
        <v>849621481</v>
      </c>
      <c r="V124" s="135">
        <f t="shared" si="15"/>
        <v>0.22209941629288915</v>
      </c>
    </row>
    <row r="125" spans="2:22" ht="47.25">
      <c r="B125" s="74" t="s">
        <v>132</v>
      </c>
      <c r="C125" s="94">
        <v>13961500</v>
      </c>
      <c r="D125" s="94">
        <v>6002344</v>
      </c>
      <c r="E125" s="94">
        <v>26560624</v>
      </c>
      <c r="F125" s="124">
        <f t="shared" si="8"/>
        <v>0.29965997786798987</v>
      </c>
      <c r="G125" s="94">
        <v>2546835</v>
      </c>
      <c r="H125" s="94">
        <v>22121957</v>
      </c>
      <c r="I125" s="95">
        <v>360</v>
      </c>
      <c r="J125" s="106">
        <f t="shared" si="9"/>
        <v>41.44572742818368</v>
      </c>
      <c r="K125" s="177">
        <f t="shared" si="10"/>
        <v>10173713</v>
      </c>
      <c r="L125" s="94">
        <f>1010473+2187361</f>
        <v>3197834</v>
      </c>
      <c r="M125" s="94">
        <v>31741094</v>
      </c>
      <c r="N125" s="108">
        <f t="shared" si="11"/>
        <v>36.269078816250001</v>
      </c>
      <c r="O125" s="178">
        <f t="shared" si="12"/>
        <v>4.1755509852489121</v>
      </c>
      <c r="P125" s="179">
        <f t="shared" si="13"/>
        <v>73.539255259184756</v>
      </c>
      <c r="Q125" s="94">
        <v>12599124</v>
      </c>
      <c r="R125" s="94">
        <v>11407570</v>
      </c>
      <c r="S125" s="140">
        <f t="shared" si="14"/>
        <v>1191554</v>
      </c>
      <c r="T125" s="94">
        <v>10173713</v>
      </c>
      <c r="U125" s="94">
        <v>16386911</v>
      </c>
      <c r="V125" s="135">
        <f t="shared" si="15"/>
        <v>0.62084385519638208</v>
      </c>
    </row>
    <row r="126" spans="2:22" ht="31.5">
      <c r="B126" s="74" t="s">
        <v>133</v>
      </c>
      <c r="C126" s="94">
        <v>42816745</v>
      </c>
      <c r="D126" s="94">
        <v>25107538</v>
      </c>
      <c r="E126" s="94">
        <v>91831526</v>
      </c>
      <c r="F126" s="124">
        <f t="shared" si="8"/>
        <v>0.19284452487482348</v>
      </c>
      <c r="G126" s="94">
        <v>7627360</v>
      </c>
      <c r="H126" s="94">
        <v>46803889</v>
      </c>
      <c r="I126" s="95">
        <v>360</v>
      </c>
      <c r="J126" s="106">
        <f t="shared" si="9"/>
        <v>58.667124862209633</v>
      </c>
      <c r="K126" s="177">
        <f t="shared" si="10"/>
        <v>48709933</v>
      </c>
      <c r="L126" s="94">
        <f>3522553+733261</f>
        <v>4255814</v>
      </c>
      <c r="M126" s="94">
        <v>64061947</v>
      </c>
      <c r="N126" s="108">
        <f t="shared" si="11"/>
        <v>23.915805119067016</v>
      </c>
      <c r="O126" s="178">
        <f t="shared" si="12"/>
        <v>3.8974209030571583</v>
      </c>
      <c r="P126" s="179">
        <f t="shared" si="13"/>
        <v>78.685509078219496</v>
      </c>
      <c r="Q126" s="94">
        <v>49014781</v>
      </c>
      <c r="R126" s="94">
        <v>45063124</v>
      </c>
      <c r="S126" s="140">
        <f t="shared" si="14"/>
        <v>3951657</v>
      </c>
      <c r="T126" s="94">
        <v>48709933</v>
      </c>
      <c r="U126" s="94">
        <v>43121593</v>
      </c>
      <c r="V126" s="135">
        <f t="shared" si="15"/>
        <v>1.1295949340275995</v>
      </c>
    </row>
    <row r="127" spans="2:22" ht="31.5">
      <c r="B127" s="74" t="s">
        <v>134</v>
      </c>
      <c r="C127" s="94">
        <v>7454347029087</v>
      </c>
      <c r="D127" s="94">
        <v>3151495162694</v>
      </c>
      <c r="E127" s="94">
        <v>11342715686221</v>
      </c>
      <c r="F127" s="124">
        <f t="shared" si="8"/>
        <v>0.37934935384301793</v>
      </c>
      <c r="G127" s="94">
        <v>1763233048130</v>
      </c>
      <c r="H127" s="94">
        <v>10620394515840</v>
      </c>
      <c r="I127" s="95">
        <v>360</v>
      </c>
      <c r="J127" s="106">
        <f t="shared" si="9"/>
        <v>59.768391501847574</v>
      </c>
      <c r="K127" s="177">
        <f t="shared" si="10"/>
        <v>6148255759034</v>
      </c>
      <c r="L127" s="94">
        <f>2123977056837+1244453883228</f>
        <v>3368430940065</v>
      </c>
      <c r="M127" s="94">
        <v>14818730635847</v>
      </c>
      <c r="N127" s="108">
        <f t="shared" si="11"/>
        <v>81.831242379829447</v>
      </c>
      <c r="O127" s="178">
        <f t="shared" si="12"/>
        <v>13.585893699000632</v>
      </c>
      <c r="P127" s="179">
        <f t="shared" si="13"/>
        <v>128.0137401826764</v>
      </c>
      <c r="Q127" s="94">
        <v>3888368657134</v>
      </c>
      <c r="R127" s="94">
        <v>3789228397100</v>
      </c>
      <c r="S127" s="140">
        <f t="shared" si="14"/>
        <v>99140260034</v>
      </c>
      <c r="T127" s="94">
        <v>6148255759034</v>
      </c>
      <c r="U127" s="94">
        <v>5194459927187</v>
      </c>
      <c r="V127" s="135">
        <f t="shared" si="15"/>
        <v>1.1836179016137904</v>
      </c>
    </row>
    <row r="128" spans="2:22" ht="31.5">
      <c r="B128" s="74" t="s">
        <v>135</v>
      </c>
      <c r="C128" s="94">
        <v>709955</v>
      </c>
      <c r="D128" s="94">
        <v>1215227</v>
      </c>
      <c r="E128" s="94">
        <v>2100853</v>
      </c>
      <c r="F128" s="124">
        <f t="shared" si="8"/>
        <v>-0.24050802221764206</v>
      </c>
      <c r="G128" s="94">
        <v>131360</v>
      </c>
      <c r="H128" s="94">
        <v>1134905</v>
      </c>
      <c r="I128" s="95">
        <v>360</v>
      </c>
      <c r="J128" s="106">
        <f t="shared" si="9"/>
        <v>41.668333472845745</v>
      </c>
      <c r="K128" s="177">
        <f t="shared" si="10"/>
        <v>1334373</v>
      </c>
      <c r="L128" s="94">
        <f>208236+1535</f>
        <v>209771</v>
      </c>
      <c r="M128" s="94">
        <v>2696318</v>
      </c>
      <c r="N128" s="108">
        <f t="shared" si="11"/>
        <v>28.007660817455506</v>
      </c>
      <c r="O128" s="178">
        <f t="shared" si="12"/>
        <v>3.241757085378032</v>
      </c>
      <c r="P128" s="179">
        <f t="shared" si="13"/>
        <v>66.434237204923221</v>
      </c>
      <c r="Q128" s="94">
        <v>1390898</v>
      </c>
      <c r="R128" s="94">
        <v>1414557</v>
      </c>
      <c r="S128" s="140">
        <f t="shared" si="14"/>
        <v>-23659</v>
      </c>
      <c r="T128" s="94">
        <v>1334373</v>
      </c>
      <c r="U128" s="94">
        <v>766480</v>
      </c>
      <c r="V128" s="135">
        <f t="shared" si="15"/>
        <v>1.7409103955745746</v>
      </c>
    </row>
    <row r="129" spans="2:22" ht="31.5">
      <c r="B129" s="74" t="s">
        <v>136</v>
      </c>
      <c r="C129" s="94">
        <v>812990646097</v>
      </c>
      <c r="D129" s="94">
        <v>395920006814</v>
      </c>
      <c r="E129" s="94">
        <v>2706323637034</v>
      </c>
      <c r="F129" s="124">
        <f t="shared" si="8"/>
        <v>0.15410966876825172</v>
      </c>
      <c r="G129" s="94">
        <v>43169425832</v>
      </c>
      <c r="H129" s="94">
        <v>1019511433830</v>
      </c>
      <c r="I129" s="95">
        <v>360</v>
      </c>
      <c r="J129" s="106">
        <f t="shared" si="9"/>
        <v>15.243569403765418</v>
      </c>
      <c r="K129" s="177">
        <f t="shared" si="10"/>
        <v>1517788685162</v>
      </c>
      <c r="L129" s="94">
        <f>128778761810+119893013240</f>
        <v>248671775050</v>
      </c>
      <c r="M129" s="94">
        <v>2174501712899</v>
      </c>
      <c r="N129" s="108">
        <f t="shared" si="11"/>
        <v>41.168897907489516</v>
      </c>
      <c r="O129" s="178">
        <f t="shared" si="12"/>
        <v>1.7432248681370814</v>
      </c>
      <c r="P129" s="179">
        <f t="shared" si="13"/>
        <v>54.669242443117852</v>
      </c>
      <c r="Q129" s="94">
        <v>1893332990937</v>
      </c>
      <c r="R129" s="94">
        <v>1722577887681</v>
      </c>
      <c r="S129" s="140">
        <f t="shared" si="14"/>
        <v>170755103256</v>
      </c>
      <c r="T129" s="94">
        <v>1517788685162</v>
      </c>
      <c r="U129" s="94">
        <v>1188534951872</v>
      </c>
      <c r="V129" s="135">
        <f t="shared" si="15"/>
        <v>1.2770248639061135</v>
      </c>
    </row>
    <row r="130" spans="2:22" ht="31.5">
      <c r="B130" s="74" t="s">
        <v>137</v>
      </c>
      <c r="C130" s="94">
        <v>286838275165</v>
      </c>
      <c r="D130" s="94">
        <v>236911023417</v>
      </c>
      <c r="E130" s="94">
        <v>620398854182</v>
      </c>
      <c r="F130" s="124">
        <f t="shared" si="8"/>
        <v>8.0476054092378055E-2</v>
      </c>
      <c r="G130" s="94">
        <v>206470791700</v>
      </c>
      <c r="H130" s="94">
        <v>813836984792</v>
      </c>
      <c r="I130" s="95">
        <v>360</v>
      </c>
      <c r="J130" s="106">
        <f t="shared" si="9"/>
        <v>91.332154228647013</v>
      </c>
      <c r="K130" s="177">
        <f t="shared" si="10"/>
        <v>296079753266</v>
      </c>
      <c r="L130" s="94">
        <f>39130149629+5894479515</f>
        <v>45024629144</v>
      </c>
      <c r="M130" s="94">
        <v>920352848084</v>
      </c>
      <c r="N130" s="108">
        <f t="shared" si="11"/>
        <v>17.611578565311973</v>
      </c>
      <c r="O130" s="178">
        <f t="shared" si="12"/>
        <v>4.468065027047242</v>
      </c>
      <c r="P130" s="179">
        <f t="shared" si="13"/>
        <v>104.47566776691174</v>
      </c>
      <c r="Q130" s="129">
        <v>333560579017</v>
      </c>
      <c r="R130" s="94">
        <v>332743370147</v>
      </c>
      <c r="S130" s="140">
        <f t="shared" si="14"/>
        <v>817208870</v>
      </c>
      <c r="T130" s="94">
        <v>296079753266</v>
      </c>
      <c r="U130" s="94">
        <v>324319100916</v>
      </c>
      <c r="V130" s="135">
        <f t="shared" si="15"/>
        <v>0.91292727572862231</v>
      </c>
    </row>
    <row r="131" spans="2:22" ht="36" customHeight="1">
      <c r="B131" s="74" t="s">
        <v>138</v>
      </c>
      <c r="C131" s="94">
        <v>341723784839</v>
      </c>
      <c r="D131" s="94">
        <v>298417379502</v>
      </c>
      <c r="E131" s="94">
        <v>764484248710</v>
      </c>
      <c r="F131" s="124">
        <f t="shared" si="8"/>
        <v>5.664787130680031E-2</v>
      </c>
      <c r="G131" s="94">
        <v>108659590967</v>
      </c>
      <c r="H131" s="94">
        <v>1187246973889</v>
      </c>
      <c r="I131" s="95">
        <v>360</v>
      </c>
      <c r="J131" s="106">
        <f t="shared" si="9"/>
        <v>32.948033230175433</v>
      </c>
      <c r="K131" s="177">
        <f t="shared" si="10"/>
        <v>420396809051</v>
      </c>
      <c r="L131" s="94">
        <f>6633212338+87667139172</f>
        <v>94300351510</v>
      </c>
      <c r="M131" s="94">
        <v>1362245580664</v>
      </c>
      <c r="N131" s="108">
        <f t="shared" si="11"/>
        <v>24.920709617609951</v>
      </c>
      <c r="O131" s="178">
        <f t="shared" si="12"/>
        <v>2.2808010238904588</v>
      </c>
      <c r="P131" s="179">
        <f t="shared" si="13"/>
        <v>55.587941823894923</v>
      </c>
      <c r="Q131" s="94">
        <v>422760463871</v>
      </c>
      <c r="R131" s="94">
        <v>273479803107</v>
      </c>
      <c r="S131" s="140">
        <f t="shared" si="14"/>
        <v>149280660764</v>
      </c>
      <c r="T131" s="94">
        <v>420396809051</v>
      </c>
      <c r="U131" s="94">
        <v>344087439659</v>
      </c>
      <c r="V131" s="135">
        <f t="shared" si="15"/>
        <v>1.2217731907553053</v>
      </c>
    </row>
    <row r="132" spans="2:22" ht="31.5">
      <c r="B132" s="74" t="s">
        <v>139</v>
      </c>
      <c r="C132" s="143">
        <v>189758915421</v>
      </c>
      <c r="D132" s="154">
        <v>159132842277</v>
      </c>
      <c r="E132" s="154">
        <v>377110748359</v>
      </c>
      <c r="F132" s="124">
        <f t="shared" si="8"/>
        <v>8.1212411147838046E-2</v>
      </c>
      <c r="G132" s="154">
        <v>680328938283</v>
      </c>
      <c r="H132" s="154">
        <v>561185818083</v>
      </c>
      <c r="I132" s="95">
        <v>360</v>
      </c>
      <c r="J132" s="106">
        <f t="shared" si="9"/>
        <v>436.43016250573942</v>
      </c>
      <c r="K132" s="177">
        <f t="shared" si="10"/>
        <v>225066080248</v>
      </c>
      <c r="L132" s="94">
        <f>87113396958+975127483</f>
        <v>88088524441</v>
      </c>
      <c r="M132" s="94">
        <v>745107731208</v>
      </c>
      <c r="N132" s="108">
        <f t="shared" si="11"/>
        <v>42.560112411325257</v>
      </c>
      <c r="O132" s="178">
        <f t="shared" si="12"/>
        <v>51.59587993315894</v>
      </c>
      <c r="P132" s="179">
        <f t="shared" si="13"/>
        <v>427.39439498390573</v>
      </c>
      <c r="Q132" s="154">
        <v>187351832938</v>
      </c>
      <c r="R132" s="154">
        <v>169512927079</v>
      </c>
      <c r="S132" s="140">
        <f t="shared" si="14"/>
        <v>17838905859</v>
      </c>
      <c r="T132" s="143">
        <v>225066080248</v>
      </c>
      <c r="U132" s="143">
        <v>152044668111</v>
      </c>
      <c r="V132" s="135">
        <f t="shared" si="15"/>
        <v>1.480262892768399</v>
      </c>
    </row>
    <row r="133" spans="2:22" ht="31.5">
      <c r="B133" s="74" t="s">
        <v>140</v>
      </c>
      <c r="C133" s="143">
        <v>875469433776</v>
      </c>
      <c r="D133" s="143">
        <v>554491047968</v>
      </c>
      <c r="E133" s="154">
        <v>1919568037170</v>
      </c>
      <c r="F133" s="124">
        <f t="shared" si="8"/>
        <v>0.16721386249023776</v>
      </c>
      <c r="G133" s="154">
        <v>298729619637</v>
      </c>
      <c r="H133" s="143">
        <v>2012271097866</v>
      </c>
      <c r="I133" s="95">
        <v>360</v>
      </c>
      <c r="J133" s="106">
        <f t="shared" si="9"/>
        <v>53.443426774537627</v>
      </c>
      <c r="K133" s="177">
        <f t="shared" si="10"/>
        <v>910758598913</v>
      </c>
      <c r="L133" s="94">
        <f>129169623932+159830427307</f>
        <v>289000051239</v>
      </c>
      <c r="M133" s="94">
        <v>2544277844656</v>
      </c>
      <c r="N133" s="108">
        <f t="shared" si="11"/>
        <v>40.891767644231784</v>
      </c>
      <c r="O133" s="178">
        <f t="shared" si="12"/>
        <v>6.0705449715997455</v>
      </c>
      <c r="P133" s="179">
        <f t="shared" si="13"/>
        <v>88.264649447169674</v>
      </c>
      <c r="Q133" s="143">
        <v>1044098603394</v>
      </c>
      <c r="R133" s="143">
        <v>900773694465</v>
      </c>
      <c r="S133" s="140">
        <f t="shared" si="14"/>
        <v>143324908929</v>
      </c>
      <c r="T133" s="143">
        <v>910758598913</v>
      </c>
      <c r="U133" s="143">
        <v>1008809438257</v>
      </c>
      <c r="V133" s="135">
        <f t="shared" si="15"/>
        <v>0.90280539056671572</v>
      </c>
    </row>
    <row r="134" spans="2:22" ht="31.5">
      <c r="B134" s="74" t="s">
        <v>141</v>
      </c>
      <c r="C134" s="94">
        <v>4463635</v>
      </c>
      <c r="D134" s="94">
        <v>2750456</v>
      </c>
      <c r="E134" s="94">
        <v>9060979</v>
      </c>
      <c r="F134" s="124">
        <f t="shared" si="8"/>
        <v>0.18907217420987291</v>
      </c>
      <c r="G134" s="94">
        <v>1569104</v>
      </c>
      <c r="H134" s="94">
        <v>4737175</v>
      </c>
      <c r="I134" s="95">
        <v>360</v>
      </c>
      <c r="J134" s="106">
        <f t="shared" si="9"/>
        <v>119.24352383013083</v>
      </c>
      <c r="K134" s="177">
        <f t="shared" si="10"/>
        <v>5094072</v>
      </c>
      <c r="L134" s="94">
        <v>1978613</v>
      </c>
      <c r="M134" s="94">
        <v>6010895</v>
      </c>
      <c r="N134" s="108">
        <f t="shared" si="11"/>
        <v>118.50160084313568</v>
      </c>
      <c r="O134" s="178">
        <f t="shared" si="12"/>
        <v>39.251523511241942</v>
      </c>
      <c r="P134" s="179">
        <f t="shared" si="13"/>
        <v>198.49360116202456</v>
      </c>
      <c r="Q134" s="94">
        <v>4597344</v>
      </c>
      <c r="R134" s="94">
        <v>3396782</v>
      </c>
      <c r="S134" s="140">
        <f t="shared" si="14"/>
        <v>1200562</v>
      </c>
      <c r="T134" s="94">
        <v>5094072</v>
      </c>
      <c r="U134" s="94">
        <v>3966907</v>
      </c>
      <c r="V134" s="135">
        <f t="shared" si="15"/>
        <v>1.2841420280334275</v>
      </c>
    </row>
    <row r="135" spans="2:22" ht="31.5">
      <c r="B135" s="74" t="s">
        <v>142</v>
      </c>
      <c r="C135" s="94">
        <v>555759090584</v>
      </c>
      <c r="D135" s="94">
        <v>351136317401</v>
      </c>
      <c r="E135" s="94">
        <v>1180228072164</v>
      </c>
      <c r="F135" s="124">
        <f t="shared" ref="F135:F162" si="16">(C135-D135)/E135</f>
        <v>0.17337561951717956</v>
      </c>
      <c r="G135" s="94">
        <v>117443478389</v>
      </c>
      <c r="H135" s="94">
        <v>213327773588</v>
      </c>
      <c r="I135" s="95">
        <v>360</v>
      </c>
      <c r="J135" s="106">
        <f t="shared" ref="J135:J162" si="17">G135/(H135/I135)</f>
        <v>198.191034898694</v>
      </c>
      <c r="K135" s="177">
        <f t="shared" ref="K135:K162" si="18">T135</f>
        <v>673255888637</v>
      </c>
      <c r="L135" s="94">
        <f>5975290808+54428696313</f>
        <v>60403987121</v>
      </c>
      <c r="M135" s="94">
        <v>301781831914</v>
      </c>
      <c r="N135" s="108">
        <f t="shared" ref="N135:N162" si="19">(I135)/(M135/L135)</f>
        <v>72.056807481229967</v>
      </c>
      <c r="O135" s="178">
        <f t="shared" ref="O135:O162" si="20">(J135)/(I135/N135)</f>
        <v>39.669481239447009</v>
      </c>
      <c r="P135" s="179">
        <f t="shared" ref="P135:P162" si="21">J135+N135-O135</f>
        <v>230.57836114047694</v>
      </c>
      <c r="Q135" s="94">
        <v>624468981580</v>
      </c>
      <c r="R135" s="94">
        <v>442920891355</v>
      </c>
      <c r="S135" s="140">
        <f t="shared" ref="S135:S162" si="22">Q135-R135</f>
        <v>181548090225</v>
      </c>
      <c r="T135" s="94">
        <v>673255888637</v>
      </c>
      <c r="U135" s="94">
        <v>506972183527</v>
      </c>
      <c r="V135" s="135">
        <f t="shared" ref="V135:V162" si="23">T135/U135</f>
        <v>1.3279937450476396</v>
      </c>
    </row>
    <row r="136" spans="2:22" ht="47.25">
      <c r="B136" s="74" t="s">
        <v>143</v>
      </c>
      <c r="C136" s="94">
        <v>2103565054627</v>
      </c>
      <c r="D136" s="94">
        <v>561628179393</v>
      </c>
      <c r="E136" s="94">
        <v>3539995910248</v>
      </c>
      <c r="F136" s="124">
        <f t="shared" si="16"/>
        <v>0.43557589170377803</v>
      </c>
      <c r="G136" s="94">
        <v>738803692770</v>
      </c>
      <c r="H136" s="94">
        <v>3011443561889</v>
      </c>
      <c r="I136" s="95">
        <v>360</v>
      </c>
      <c r="J136" s="106">
        <f t="shared" si="17"/>
        <v>88.319546400651916</v>
      </c>
      <c r="K136" s="177">
        <f t="shared" si="18"/>
        <v>742490216326</v>
      </c>
      <c r="L136" s="94">
        <v>448129204430</v>
      </c>
      <c r="M136" s="94">
        <v>4393932684171</v>
      </c>
      <c r="N136" s="108">
        <f t="shared" si="19"/>
        <v>36.715745367691575</v>
      </c>
      <c r="O136" s="178">
        <f t="shared" si="20"/>
        <v>9.0075499351009896</v>
      </c>
      <c r="P136" s="179">
        <f t="shared" si="21"/>
        <v>116.02774183324249</v>
      </c>
      <c r="Q136" s="94">
        <v>1436430855621</v>
      </c>
      <c r="R136" s="94">
        <v>1276031531616</v>
      </c>
      <c r="S136" s="140">
        <f t="shared" si="22"/>
        <v>160399324005</v>
      </c>
      <c r="T136" s="94">
        <v>742490216326</v>
      </c>
      <c r="U136" s="94">
        <v>2797505693922</v>
      </c>
      <c r="V136" s="135">
        <f t="shared" si="23"/>
        <v>0.26541151209778452</v>
      </c>
    </row>
    <row r="137" spans="2:22" ht="31.5">
      <c r="B137" s="74" t="s">
        <v>144</v>
      </c>
      <c r="C137" s="94">
        <v>1253019074345</v>
      </c>
      <c r="D137" s="94">
        <v>816471301252</v>
      </c>
      <c r="E137" s="94">
        <v>1485826210015</v>
      </c>
      <c r="F137" s="124">
        <f t="shared" si="16"/>
        <v>0.29380809824898219</v>
      </c>
      <c r="G137" s="94">
        <v>424593167957</v>
      </c>
      <c r="H137" s="94">
        <v>3186844410552</v>
      </c>
      <c r="I137" s="95">
        <v>360</v>
      </c>
      <c r="J137" s="106">
        <f t="shared" si="17"/>
        <v>47.963916894845809</v>
      </c>
      <c r="K137" s="177">
        <f t="shared" si="18"/>
        <v>845932695663</v>
      </c>
      <c r="L137" s="94">
        <f>89004428852+171188910213</f>
        <v>260193339065</v>
      </c>
      <c r="M137" s="94">
        <v>3485733830354</v>
      </c>
      <c r="N137" s="108">
        <f t="shared" si="19"/>
        <v>26.87227614676684</v>
      </c>
      <c r="O137" s="178">
        <f t="shared" si="20"/>
        <v>3.5802767218857556</v>
      </c>
      <c r="P137" s="179">
        <f t="shared" si="21"/>
        <v>71.255916319726893</v>
      </c>
      <c r="Q137" s="94">
        <v>232807135670</v>
      </c>
      <c r="R137" s="94">
        <v>230828666143</v>
      </c>
      <c r="S137" s="140">
        <f t="shared" si="22"/>
        <v>1978469527</v>
      </c>
      <c r="T137" s="94">
        <v>845932695663</v>
      </c>
      <c r="U137" s="94">
        <v>639893514352</v>
      </c>
      <c r="V137" s="135">
        <f t="shared" si="23"/>
        <v>1.3219897946920893</v>
      </c>
    </row>
    <row r="138" spans="2:22" ht="31.5">
      <c r="B138" s="77" t="s">
        <v>145</v>
      </c>
      <c r="C138" s="94"/>
      <c r="D138" s="94"/>
      <c r="E138" s="94"/>
      <c r="F138" s="124" t="e">
        <f t="shared" si="16"/>
        <v>#DIV/0!</v>
      </c>
      <c r="G138" s="94"/>
      <c r="H138" s="94"/>
      <c r="I138" s="95">
        <v>360</v>
      </c>
      <c r="J138" s="106" t="e">
        <f t="shared" si="17"/>
        <v>#DIV/0!</v>
      </c>
      <c r="K138" s="177">
        <f t="shared" si="18"/>
        <v>0</v>
      </c>
      <c r="L138" s="94"/>
      <c r="M138" s="94"/>
      <c r="N138" s="108" t="e">
        <f t="shared" si="19"/>
        <v>#DIV/0!</v>
      </c>
      <c r="O138" s="178" t="e">
        <f t="shared" si="20"/>
        <v>#DIV/0!</v>
      </c>
      <c r="P138" s="179" t="e">
        <f t="shared" si="21"/>
        <v>#DIV/0!</v>
      </c>
      <c r="Q138" s="94"/>
      <c r="R138" s="94"/>
      <c r="S138" s="140">
        <f t="shared" si="22"/>
        <v>0</v>
      </c>
      <c r="T138" s="94"/>
      <c r="U138" s="94"/>
      <c r="V138" s="135" t="e">
        <f t="shared" si="23"/>
        <v>#DIV/0!</v>
      </c>
    </row>
    <row r="139" spans="2:22" ht="46.5" customHeight="1">
      <c r="B139" s="74" t="s">
        <v>146</v>
      </c>
      <c r="C139" s="94">
        <v>7594019</v>
      </c>
      <c r="D139" s="94">
        <v>3446546</v>
      </c>
      <c r="E139" s="94">
        <v>10821467</v>
      </c>
      <c r="F139" s="124">
        <f t="shared" si="16"/>
        <v>0.38326347065513389</v>
      </c>
      <c r="G139" s="94">
        <v>5962896</v>
      </c>
      <c r="H139" s="94">
        <v>15098989</v>
      </c>
      <c r="I139" s="95">
        <v>360</v>
      </c>
      <c r="J139" s="106">
        <f t="shared" si="17"/>
        <v>142.17127782529016</v>
      </c>
      <c r="K139" s="177">
        <f t="shared" si="18"/>
        <v>15816071</v>
      </c>
      <c r="L139" s="94">
        <f>20389+509367</f>
        <v>529756</v>
      </c>
      <c r="M139" s="94">
        <v>16814352</v>
      </c>
      <c r="N139" s="108">
        <f t="shared" si="19"/>
        <v>11.342224785112148</v>
      </c>
      <c r="O139" s="178">
        <f t="shared" si="20"/>
        <v>4.479273864114087</v>
      </c>
      <c r="P139" s="179">
        <f t="shared" si="21"/>
        <v>149.03422874628822</v>
      </c>
      <c r="Q139" s="94">
        <v>5073295</v>
      </c>
      <c r="R139" s="94">
        <v>4268423</v>
      </c>
      <c r="S139" s="140">
        <f t="shared" si="22"/>
        <v>804872</v>
      </c>
      <c r="T139" s="94">
        <f>3446546+12369525</f>
        <v>15816071</v>
      </c>
      <c r="U139" s="94">
        <f>-3148757</f>
        <v>-3148757</v>
      </c>
      <c r="V139" s="135">
        <f t="shared" si="23"/>
        <v>-5.0229569954112048</v>
      </c>
    </row>
    <row r="140" spans="2:22" ht="45" customHeight="1">
      <c r="B140" s="74" t="s">
        <v>147</v>
      </c>
      <c r="C140" s="94">
        <v>42568431</v>
      </c>
      <c r="D140" s="94">
        <v>24045086</v>
      </c>
      <c r="E140" s="94">
        <v>63505413</v>
      </c>
      <c r="F140" s="124">
        <f t="shared" si="16"/>
        <v>0.29168135635933901</v>
      </c>
      <c r="G140" s="94">
        <v>37255928</v>
      </c>
      <c r="H140" s="94">
        <v>54879962</v>
      </c>
      <c r="I140" s="95">
        <v>360</v>
      </c>
      <c r="J140" s="106">
        <f t="shared" si="17"/>
        <v>244.39036747146437</v>
      </c>
      <c r="K140" s="177">
        <f t="shared" si="18"/>
        <v>25497504</v>
      </c>
      <c r="L140" s="94">
        <v>1568098</v>
      </c>
      <c r="M140" s="94">
        <v>70365573</v>
      </c>
      <c r="N140" s="108">
        <f t="shared" si="19"/>
        <v>8.0226061685023158</v>
      </c>
      <c r="O140" s="178">
        <f t="shared" si="20"/>
        <v>5.4462435266642162</v>
      </c>
      <c r="P140" s="179">
        <f t="shared" si="21"/>
        <v>246.96673011330248</v>
      </c>
      <c r="Q140" s="94">
        <v>20936982</v>
      </c>
      <c r="R140" s="94">
        <v>19701678</v>
      </c>
      <c r="S140" s="140">
        <f t="shared" si="22"/>
        <v>1235304</v>
      </c>
      <c r="T140" s="94">
        <v>25497504</v>
      </c>
      <c r="U140" s="94">
        <v>38007909</v>
      </c>
      <c r="V140" s="135">
        <f t="shared" si="23"/>
        <v>0.67084732285588244</v>
      </c>
    </row>
    <row r="141" spans="2:22" ht="45" customHeight="1">
      <c r="B141" s="74" t="s">
        <v>148</v>
      </c>
      <c r="C141" s="94">
        <v>29807330</v>
      </c>
      <c r="D141" s="94">
        <v>4538674</v>
      </c>
      <c r="E141" s="94">
        <v>38010724</v>
      </c>
      <c r="F141" s="124">
        <f t="shared" si="16"/>
        <v>0.66477702450497922</v>
      </c>
      <c r="G141" s="94">
        <v>19071523</v>
      </c>
      <c r="H141" s="94">
        <v>67304917</v>
      </c>
      <c r="I141" s="95">
        <v>360</v>
      </c>
      <c r="J141" s="106">
        <f t="shared" si="17"/>
        <v>102.00960919393155</v>
      </c>
      <c r="K141" s="177">
        <f t="shared" si="18"/>
        <v>5994664</v>
      </c>
      <c r="L141" s="94">
        <f>2288676+170066</f>
        <v>2458742</v>
      </c>
      <c r="M141" s="94">
        <v>89069306</v>
      </c>
      <c r="N141" s="108">
        <f t="shared" si="19"/>
        <v>9.9377345547073208</v>
      </c>
      <c r="O141" s="178">
        <f t="shared" si="20"/>
        <v>2.8159567172186755</v>
      </c>
      <c r="P141" s="179">
        <f t="shared" si="21"/>
        <v>109.13138703142019</v>
      </c>
      <c r="Q141" s="94">
        <v>8203394</v>
      </c>
      <c r="R141" s="94">
        <v>7603116</v>
      </c>
      <c r="S141" s="140">
        <f t="shared" si="22"/>
        <v>600278</v>
      </c>
      <c r="T141" s="94">
        <v>5994664</v>
      </c>
      <c r="U141" s="94">
        <v>32016060</v>
      </c>
      <c r="V141" s="135">
        <f t="shared" si="23"/>
        <v>0.18723927928670797</v>
      </c>
    </row>
    <row r="142" spans="2:22" ht="31.5">
      <c r="B142" s="74" t="s">
        <v>149</v>
      </c>
      <c r="C142" s="94">
        <v>988814005395</v>
      </c>
      <c r="D142" s="94">
        <v>341705551602</v>
      </c>
      <c r="E142" s="94">
        <v>1342700045391</v>
      </c>
      <c r="F142" s="124">
        <f t="shared" si="16"/>
        <v>0.48194565570641601</v>
      </c>
      <c r="G142" s="94">
        <v>753511490458</v>
      </c>
      <c r="H142" s="94">
        <v>1279427333869</v>
      </c>
      <c r="I142" s="95">
        <v>360</v>
      </c>
      <c r="J142" s="106">
        <f t="shared" si="17"/>
        <v>212.01996345081574</v>
      </c>
      <c r="K142" s="177">
        <f t="shared" si="18"/>
        <v>398991064485</v>
      </c>
      <c r="L142" s="94">
        <v>62343695804</v>
      </c>
      <c r="M142" s="94">
        <v>1839419574956</v>
      </c>
      <c r="N142" s="108">
        <f t="shared" si="19"/>
        <v>12.201528566410341</v>
      </c>
      <c r="O142" s="178">
        <f t="shared" si="20"/>
        <v>7.1860212241511237</v>
      </c>
      <c r="P142" s="179">
        <f t="shared" si="21"/>
        <v>217.03547079307495</v>
      </c>
      <c r="Q142" s="94">
        <v>353886039996</v>
      </c>
      <c r="R142" s="94">
        <v>334827456738</v>
      </c>
      <c r="S142" s="140">
        <f t="shared" si="22"/>
        <v>19058583258</v>
      </c>
      <c r="T142" s="94">
        <v>398991064485</v>
      </c>
      <c r="U142" s="94">
        <v>943708980906</v>
      </c>
      <c r="V142" s="135">
        <f t="shared" si="23"/>
        <v>0.42279036499361478</v>
      </c>
    </row>
    <row r="143" spans="2:22" ht="31.5">
      <c r="B143" s="77" t="s">
        <v>150</v>
      </c>
      <c r="C143" s="94"/>
      <c r="D143" s="94"/>
      <c r="E143" s="94"/>
      <c r="F143" s="124" t="e">
        <f t="shared" si="16"/>
        <v>#DIV/0!</v>
      </c>
      <c r="G143" s="94"/>
      <c r="H143" s="94"/>
      <c r="I143" s="94"/>
      <c r="J143" s="106" t="e">
        <f t="shared" si="17"/>
        <v>#DIV/0!</v>
      </c>
      <c r="K143" s="177">
        <f t="shared" si="18"/>
        <v>0</v>
      </c>
      <c r="L143" s="94"/>
      <c r="M143" s="94"/>
      <c r="N143" s="108" t="e">
        <f t="shared" si="19"/>
        <v>#DIV/0!</v>
      </c>
      <c r="O143" s="178" t="e">
        <f t="shared" si="20"/>
        <v>#DIV/0!</v>
      </c>
      <c r="P143" s="179" t="e">
        <f t="shared" si="21"/>
        <v>#DIV/0!</v>
      </c>
      <c r="Q143" s="94"/>
      <c r="R143" s="94"/>
      <c r="S143" s="140">
        <f t="shared" si="22"/>
        <v>0</v>
      </c>
      <c r="T143" s="94"/>
      <c r="U143" s="94"/>
      <c r="V143" s="135" t="e">
        <f t="shared" si="23"/>
        <v>#DIV/0!</v>
      </c>
    </row>
    <row r="144" spans="2:22" ht="31.5">
      <c r="B144" s="74" t="s">
        <v>151</v>
      </c>
      <c r="C144" s="94">
        <v>1043830034</v>
      </c>
      <c r="D144" s="94">
        <v>296298118</v>
      </c>
      <c r="E144" s="94">
        <v>1376278237</v>
      </c>
      <c r="F144" s="124">
        <f t="shared" si="16"/>
        <v>0.54315464409977443</v>
      </c>
      <c r="G144" s="94">
        <v>198658033</v>
      </c>
      <c r="H144" s="94">
        <v>628364919</v>
      </c>
      <c r="I144" s="95">
        <v>360</v>
      </c>
      <c r="J144" s="106">
        <f t="shared" si="17"/>
        <v>113.81426575152264</v>
      </c>
      <c r="K144" s="177">
        <f t="shared" si="18"/>
        <v>402760903</v>
      </c>
      <c r="L144" s="94">
        <f>365905424+32605103</f>
        <v>398510527</v>
      </c>
      <c r="M144" s="94">
        <v>1306098136</v>
      </c>
      <c r="N144" s="108">
        <f t="shared" si="19"/>
        <v>109.84150866286819</v>
      </c>
      <c r="O144" s="178">
        <f t="shared" si="20"/>
        <v>34.726474048621824</v>
      </c>
      <c r="P144" s="179">
        <f t="shared" si="21"/>
        <v>188.929300365769</v>
      </c>
      <c r="Q144" s="94">
        <v>332448203</v>
      </c>
      <c r="R144" s="94">
        <v>315946059</v>
      </c>
      <c r="S144" s="140">
        <f t="shared" si="22"/>
        <v>16502144</v>
      </c>
      <c r="T144" s="94">
        <v>402760903</v>
      </c>
      <c r="U144" s="94">
        <v>973517334</v>
      </c>
      <c r="V144" s="135">
        <f t="shared" si="23"/>
        <v>0.41371723844415903</v>
      </c>
    </row>
    <row r="145" spans="2:22" s="75" customFormat="1" ht="31.5">
      <c r="B145" s="74" t="s">
        <v>152</v>
      </c>
      <c r="C145" s="95">
        <v>1068157388878</v>
      </c>
      <c r="D145" s="143">
        <v>846731120973</v>
      </c>
      <c r="E145" s="143">
        <v>1533708564241</v>
      </c>
      <c r="F145" s="124">
        <f t="shared" si="16"/>
        <v>0.14437310520892813</v>
      </c>
      <c r="G145" s="143">
        <v>300271746960</v>
      </c>
      <c r="H145" s="143">
        <v>1291844221034</v>
      </c>
      <c r="I145" s="95">
        <v>360</v>
      </c>
      <c r="J145" s="106">
        <f t="shared" si="17"/>
        <v>83.677139352822152</v>
      </c>
      <c r="K145" s="177">
        <f t="shared" si="18"/>
        <v>940999667498</v>
      </c>
      <c r="L145" s="95">
        <f>5974748064+190237969425</f>
        <v>196212717489</v>
      </c>
      <c r="M145" s="95">
        <v>1621898667657</v>
      </c>
      <c r="N145" s="108">
        <f t="shared" si="19"/>
        <v>43.551782675844869</v>
      </c>
      <c r="O145" s="178">
        <f t="shared" si="20"/>
        <v>10.123023855640268</v>
      </c>
      <c r="P145" s="179">
        <f t="shared" si="21"/>
        <v>117.10589817302676</v>
      </c>
      <c r="Q145" s="143">
        <v>465551175363</v>
      </c>
      <c r="R145" s="143">
        <v>466876024725</v>
      </c>
      <c r="S145" s="140">
        <f t="shared" si="22"/>
        <v>-1324849362</v>
      </c>
      <c r="T145" s="143">
        <v>940999667498</v>
      </c>
      <c r="U145" s="143">
        <v>592708896744</v>
      </c>
      <c r="V145" s="135">
        <f t="shared" si="23"/>
        <v>1.5876253463838794</v>
      </c>
    </row>
    <row r="146" spans="2:22" s="75" customFormat="1" ht="47.25">
      <c r="B146" s="74" t="s">
        <v>153</v>
      </c>
      <c r="C146" s="95">
        <v>1707439</v>
      </c>
      <c r="D146" s="95">
        <v>184060</v>
      </c>
      <c r="E146" s="95">
        <v>2796111</v>
      </c>
      <c r="F146" s="124">
        <f t="shared" si="16"/>
        <v>0.54482064553231258</v>
      </c>
      <c r="G146" s="95">
        <v>264982</v>
      </c>
      <c r="H146" s="95">
        <v>1335171</v>
      </c>
      <c r="I146" s="95">
        <v>360</v>
      </c>
      <c r="J146" s="106">
        <f t="shared" si="17"/>
        <v>71.446668628962129</v>
      </c>
      <c r="K146" s="177">
        <f t="shared" si="18"/>
        <v>197797</v>
      </c>
      <c r="L146" s="95">
        <f>335495+105</f>
        <v>335600</v>
      </c>
      <c r="M146" s="95">
        <v>2218536</v>
      </c>
      <c r="N146" s="108">
        <f t="shared" si="19"/>
        <v>54.457534157660731</v>
      </c>
      <c r="O146" s="178">
        <f t="shared" si="20"/>
        <v>10.807803881424368</v>
      </c>
      <c r="P146" s="179">
        <f t="shared" si="21"/>
        <v>115.0963989051985</v>
      </c>
      <c r="Q146" s="95">
        <v>1088672</v>
      </c>
      <c r="R146" s="95">
        <v>959835</v>
      </c>
      <c r="S146" s="140">
        <f t="shared" si="22"/>
        <v>128837</v>
      </c>
      <c r="T146" s="95">
        <v>197797</v>
      </c>
      <c r="U146" s="95">
        <v>2598314</v>
      </c>
      <c r="V146" s="135">
        <f t="shared" si="23"/>
        <v>7.6125133451923052E-2</v>
      </c>
    </row>
    <row r="147" spans="2:22" ht="31.5">
      <c r="B147" s="74" t="s">
        <v>154</v>
      </c>
      <c r="C147" s="94">
        <v>8748491608702</v>
      </c>
      <c r="D147" s="94">
        <v>2365880490863</v>
      </c>
      <c r="E147" s="94">
        <v>13696417381439</v>
      </c>
      <c r="F147" s="124">
        <f t="shared" si="16"/>
        <v>0.46600588607123899</v>
      </c>
      <c r="G147" s="94">
        <v>3003149535671</v>
      </c>
      <c r="H147" s="94">
        <v>9295887287351</v>
      </c>
      <c r="I147" s="95">
        <v>360</v>
      </c>
      <c r="J147" s="106">
        <f t="shared" si="17"/>
        <v>116.30238184069516</v>
      </c>
      <c r="K147" s="177">
        <f t="shared" si="18"/>
        <v>2758131396170</v>
      </c>
      <c r="L147" s="94">
        <f>2337444304540+17335467379</f>
        <v>2354779771919</v>
      </c>
      <c r="M147" s="94">
        <v>17887464223321</v>
      </c>
      <c r="N147" s="108">
        <f t="shared" si="19"/>
        <v>47.391888940055225</v>
      </c>
      <c r="O147" s="178">
        <f t="shared" si="20"/>
        <v>15.310526565717002</v>
      </c>
      <c r="P147" s="179">
        <f t="shared" si="21"/>
        <v>148.3837442150334</v>
      </c>
      <c r="Q147" s="94">
        <v>4947925772737</v>
      </c>
      <c r="R147" s="94">
        <v>4318462025823</v>
      </c>
      <c r="S147" s="140">
        <f t="shared" si="22"/>
        <v>629463746914</v>
      </c>
      <c r="T147" s="94">
        <v>2758131396170</v>
      </c>
      <c r="U147" s="94">
        <v>10938285985269</v>
      </c>
      <c r="V147" s="135">
        <f t="shared" si="23"/>
        <v>0.25215389320451842</v>
      </c>
    </row>
    <row r="148" spans="2:22" ht="46.5" customHeight="1">
      <c r="B148" s="74" t="s">
        <v>155</v>
      </c>
      <c r="C148" s="94">
        <v>2100921793619</v>
      </c>
      <c r="D148" s="94">
        <v>1088431346892</v>
      </c>
      <c r="E148" s="94">
        <v>3236224076311</v>
      </c>
      <c r="F148" s="124">
        <f t="shared" si="16"/>
        <v>0.31286166311485658</v>
      </c>
      <c r="G148" s="94">
        <v>742317799941</v>
      </c>
      <c r="H148" s="94">
        <v>3323619297215</v>
      </c>
      <c r="I148" s="95">
        <v>360</v>
      </c>
      <c r="J148" s="106">
        <f t="shared" si="17"/>
        <v>80.404638462259186</v>
      </c>
      <c r="K148" s="177">
        <f t="shared" si="18"/>
        <v>1088431346892</v>
      </c>
      <c r="L148" s="94">
        <f>44818042782+510534165277</f>
        <v>555352208059</v>
      </c>
      <c r="M148" s="94">
        <v>4860371483524</v>
      </c>
      <c r="N148" s="108">
        <f t="shared" si="19"/>
        <v>41.134056435596477</v>
      </c>
      <c r="O148" s="178">
        <f t="shared" si="20"/>
        <v>9.1871359338619456</v>
      </c>
      <c r="P148" s="179">
        <f t="shared" si="21"/>
        <v>112.35155896399371</v>
      </c>
      <c r="Q148" s="94">
        <v>1135302282692</v>
      </c>
      <c r="R148" s="94">
        <v>972347779662</v>
      </c>
      <c r="S148" s="140">
        <f t="shared" si="22"/>
        <v>162954503030</v>
      </c>
      <c r="T148" s="94">
        <v>1088431346892</v>
      </c>
      <c r="U148" s="94">
        <v>1862096822470</v>
      </c>
      <c r="V148" s="135">
        <f t="shared" si="23"/>
        <v>0.58451920101997579</v>
      </c>
    </row>
    <row r="149" spans="2:22" s="75" customFormat="1" ht="31.5">
      <c r="B149" s="74" t="s">
        <v>156</v>
      </c>
      <c r="C149" s="143">
        <v>1261500998</v>
      </c>
      <c r="D149" s="143">
        <v>989115069</v>
      </c>
      <c r="E149" s="143">
        <v>1510747778</v>
      </c>
      <c r="F149" s="124">
        <f t="shared" si="16"/>
        <v>0.18029874540712382</v>
      </c>
      <c r="G149" s="143">
        <v>407900378</v>
      </c>
      <c r="H149" s="143">
        <v>770628100</v>
      </c>
      <c r="I149" s="95">
        <v>360</v>
      </c>
      <c r="J149" s="106">
        <f t="shared" si="17"/>
        <v>190.55123486932283</v>
      </c>
      <c r="K149" s="177">
        <f t="shared" si="18"/>
        <v>1409875667</v>
      </c>
      <c r="L149" s="95">
        <f>420203987+122309138</f>
        <v>542513125</v>
      </c>
      <c r="M149" s="95">
        <v>976069498</v>
      </c>
      <c r="N149" s="108">
        <f t="shared" si="19"/>
        <v>200.09305218551148</v>
      </c>
      <c r="O149" s="178">
        <f t="shared" si="20"/>
        <v>105.91105050755853</v>
      </c>
      <c r="P149" s="179">
        <f t="shared" si="21"/>
        <v>284.73323654727579</v>
      </c>
      <c r="Q149" s="143">
        <v>249246780</v>
      </c>
      <c r="R149" s="143">
        <v>264377945</v>
      </c>
      <c r="S149" s="140">
        <f t="shared" si="22"/>
        <v>-15131165</v>
      </c>
      <c r="T149" s="95">
        <f>989115069+420760598</f>
        <v>1409875667</v>
      </c>
      <c r="U149" s="143">
        <v>100872111</v>
      </c>
      <c r="V149" s="135">
        <f t="shared" si="23"/>
        <v>13.976862911097399</v>
      </c>
    </row>
    <row r="150" spans="2:22" ht="49.5" customHeight="1">
      <c r="B150" s="74" t="s">
        <v>157</v>
      </c>
      <c r="C150" s="94">
        <v>483679971</v>
      </c>
      <c r="D150" s="94">
        <v>132435895</v>
      </c>
      <c r="E150" s="94">
        <v>641646818</v>
      </c>
      <c r="F150" s="124">
        <f t="shared" si="16"/>
        <v>0.54741029823045118</v>
      </c>
      <c r="G150" s="94">
        <v>161124628</v>
      </c>
      <c r="H150" s="94">
        <v>487190159</v>
      </c>
      <c r="I150" s="95">
        <v>360</v>
      </c>
      <c r="J150" s="106">
        <f t="shared" si="17"/>
        <v>119.06001180126465</v>
      </c>
      <c r="K150" s="177">
        <f t="shared" si="18"/>
        <v>168103536</v>
      </c>
      <c r="L150" s="94">
        <f>161472425+57181</f>
        <v>161529606</v>
      </c>
      <c r="M150" s="94">
        <v>983446471</v>
      </c>
      <c r="N150" s="108">
        <f t="shared" si="19"/>
        <v>59.129459380611273</v>
      </c>
      <c r="O150" s="178">
        <f t="shared" si="20"/>
        <v>19.555428143494378</v>
      </c>
      <c r="P150" s="179">
        <f t="shared" si="21"/>
        <v>158.63404303838155</v>
      </c>
      <c r="Q150" s="94">
        <v>157966847</v>
      </c>
      <c r="R150" s="94">
        <v>115717111</v>
      </c>
      <c r="S150" s="140">
        <f t="shared" si="22"/>
        <v>42249736</v>
      </c>
      <c r="T150" s="94">
        <v>168103536</v>
      </c>
      <c r="U150" s="94">
        <v>473543282</v>
      </c>
      <c r="V150" s="135">
        <f t="shared" si="23"/>
        <v>0.35499085804790281</v>
      </c>
    </row>
    <row r="151" spans="2:22" ht="31.5">
      <c r="B151" s="72" t="s">
        <v>158</v>
      </c>
      <c r="C151" s="94">
        <v>72745997374</v>
      </c>
      <c r="D151" s="94">
        <v>36534059349</v>
      </c>
      <c r="E151" s="94">
        <v>159951537229</v>
      </c>
      <c r="F151" s="124">
        <f t="shared" si="16"/>
        <v>0.22639318541312897</v>
      </c>
      <c r="G151" s="94">
        <v>36163518386</v>
      </c>
      <c r="H151" s="94">
        <v>79859558081</v>
      </c>
      <c r="I151" s="95">
        <v>360</v>
      </c>
      <c r="J151" s="106">
        <f t="shared" si="17"/>
        <v>163.02202180677256</v>
      </c>
      <c r="K151" s="177">
        <f t="shared" si="18"/>
        <v>58729478032</v>
      </c>
      <c r="L151" s="94">
        <v>30245569598</v>
      </c>
      <c r="M151" s="94">
        <v>217843921422</v>
      </c>
      <c r="N151" s="108">
        <f t="shared" si="19"/>
        <v>49.982597559779251</v>
      </c>
      <c r="O151" s="178">
        <f t="shared" si="20"/>
        <v>22.634066970415194</v>
      </c>
      <c r="P151" s="179">
        <f t="shared" si="21"/>
        <v>190.37055239613662</v>
      </c>
      <c r="Q151" s="94">
        <v>87205539855</v>
      </c>
      <c r="R151" s="94">
        <v>94479876775</v>
      </c>
      <c r="S151" s="140">
        <f t="shared" si="22"/>
        <v>-7274336920</v>
      </c>
      <c r="T151" s="94">
        <v>58729478032</v>
      </c>
      <c r="U151" s="94">
        <v>101222059197</v>
      </c>
      <c r="V151" s="135">
        <f t="shared" si="23"/>
        <v>0.58020433982379027</v>
      </c>
    </row>
    <row r="152" spans="2:22" ht="47.25">
      <c r="B152" s="74" t="s">
        <v>159</v>
      </c>
      <c r="C152" s="94">
        <v>365466619</v>
      </c>
      <c r="D152" s="94">
        <v>102270152</v>
      </c>
      <c r="E152" s="94">
        <v>464027522</v>
      </c>
      <c r="F152" s="124">
        <f t="shared" si="16"/>
        <v>0.5672001218065682</v>
      </c>
      <c r="G152" s="94">
        <v>57152273</v>
      </c>
      <c r="H152" s="94">
        <v>218688700</v>
      </c>
      <c r="I152" s="95">
        <v>360</v>
      </c>
      <c r="J152" s="106">
        <f t="shared" si="17"/>
        <v>94.082676791256247</v>
      </c>
      <c r="K152" s="177">
        <f t="shared" si="18"/>
        <v>109974035</v>
      </c>
      <c r="L152" s="94">
        <f>22264102+103575520</f>
        <v>125839622</v>
      </c>
      <c r="M152" s="94">
        <v>514708068</v>
      </c>
      <c r="N152" s="108">
        <f t="shared" si="19"/>
        <v>88.015453295750547</v>
      </c>
      <c r="O152" s="178">
        <f t="shared" si="20"/>
        <v>23.0020262362778</v>
      </c>
      <c r="P152" s="179">
        <f t="shared" si="21"/>
        <v>159.09610385072898</v>
      </c>
      <c r="Q152" s="94">
        <v>98560903</v>
      </c>
      <c r="R152" s="94">
        <v>93261285</v>
      </c>
      <c r="S152" s="140">
        <f t="shared" si="22"/>
        <v>5299618</v>
      </c>
      <c r="T152" s="94">
        <v>109974035</v>
      </c>
      <c r="U152" s="94">
        <v>354053487</v>
      </c>
      <c r="V152" s="135">
        <f t="shared" si="23"/>
        <v>0.3106141841218471</v>
      </c>
    </row>
    <row r="153" spans="2:22" ht="51" customHeight="1">
      <c r="B153" s="74" t="s">
        <v>161</v>
      </c>
      <c r="C153" s="94">
        <v>4304922144352</v>
      </c>
      <c r="D153" s="94">
        <v>1696486657073</v>
      </c>
      <c r="E153" s="94">
        <v>6284729099203</v>
      </c>
      <c r="F153" s="124">
        <f t="shared" si="16"/>
        <v>0.41504342448265424</v>
      </c>
      <c r="G153" s="94">
        <v>1232919055623</v>
      </c>
      <c r="H153" s="94">
        <v>5063909651665</v>
      </c>
      <c r="I153" s="95">
        <v>360</v>
      </c>
      <c r="J153" s="106">
        <f t="shared" si="17"/>
        <v>87.649837883332495</v>
      </c>
      <c r="K153" s="177">
        <f t="shared" si="18"/>
        <v>1947588124083</v>
      </c>
      <c r="L153" s="94">
        <f>922485151051+762456051</f>
        <v>923247607102</v>
      </c>
      <c r="M153" s="94">
        <v>8181481867179</v>
      </c>
      <c r="N153" s="108">
        <f t="shared" si="19"/>
        <v>40.624564590194694</v>
      </c>
      <c r="O153" s="178">
        <f t="shared" si="20"/>
        <v>9.8909347233653744</v>
      </c>
      <c r="P153" s="179">
        <f t="shared" si="21"/>
        <v>118.3834677501618</v>
      </c>
      <c r="Q153" s="94">
        <v>1979806954851</v>
      </c>
      <c r="R153" s="94">
        <v>1894855662129</v>
      </c>
      <c r="S153" s="140">
        <f t="shared" si="22"/>
        <v>84951292722</v>
      </c>
      <c r="T153" s="94">
        <v>1947588124083</v>
      </c>
      <c r="U153" s="94">
        <v>4337140975120</v>
      </c>
      <c r="V153" s="135">
        <f t="shared" si="23"/>
        <v>0.44904884006660956</v>
      </c>
    </row>
    <row r="154" spans="2:22" ht="31.5">
      <c r="B154" s="77" t="s">
        <v>162</v>
      </c>
      <c r="C154" s="94"/>
      <c r="D154" s="94"/>
      <c r="E154" s="94"/>
      <c r="F154" s="124" t="e">
        <f t="shared" si="16"/>
        <v>#DIV/0!</v>
      </c>
      <c r="G154" s="94"/>
      <c r="H154" s="94"/>
      <c r="I154" s="94"/>
      <c r="J154" s="106" t="e">
        <f t="shared" si="17"/>
        <v>#DIV/0!</v>
      </c>
      <c r="K154" s="177">
        <f t="shared" si="18"/>
        <v>0</v>
      </c>
      <c r="L154" s="94"/>
      <c r="M154" s="94"/>
      <c r="N154" s="108" t="e">
        <f t="shared" si="19"/>
        <v>#DIV/0!</v>
      </c>
      <c r="O154" s="178" t="e">
        <f t="shared" si="20"/>
        <v>#DIV/0!</v>
      </c>
      <c r="P154" s="179" t="e">
        <f t="shared" si="21"/>
        <v>#DIV/0!</v>
      </c>
      <c r="Q154" s="129"/>
      <c r="R154" s="129"/>
      <c r="S154" s="140">
        <f t="shared" si="22"/>
        <v>0</v>
      </c>
      <c r="T154" s="94"/>
      <c r="U154" s="94"/>
      <c r="V154" s="135" t="e">
        <f t="shared" si="23"/>
        <v>#DIV/0!</v>
      </c>
    </row>
    <row r="155" spans="2:22" ht="31.5">
      <c r="B155" s="74" t="s">
        <v>163</v>
      </c>
      <c r="C155" s="94">
        <v>1112672539416</v>
      </c>
      <c r="D155" s="94">
        <v>222930621643</v>
      </c>
      <c r="E155" s="94">
        <v>2082096848703</v>
      </c>
      <c r="F155" s="124">
        <f t="shared" si="16"/>
        <v>0.42732974612936314</v>
      </c>
      <c r="G155" s="94">
        <v>382731850133</v>
      </c>
      <c r="H155" s="94">
        <v>1436977751396</v>
      </c>
      <c r="I155" s="95">
        <v>360</v>
      </c>
      <c r="J155" s="106">
        <f t="shared" si="17"/>
        <v>95.884202740108989</v>
      </c>
      <c r="K155" s="177">
        <f t="shared" si="18"/>
        <v>367225370670</v>
      </c>
      <c r="L155" s="94">
        <f>409911420683+23566261413</f>
        <v>433477682096</v>
      </c>
      <c r="M155" s="94">
        <v>2314889854074</v>
      </c>
      <c r="N155" s="108">
        <f t="shared" si="19"/>
        <v>67.412263818912351</v>
      </c>
      <c r="O155" s="178">
        <f t="shared" si="20"/>
        <v>17.95491991995085</v>
      </c>
      <c r="P155" s="179">
        <f t="shared" si="21"/>
        <v>145.34154663907049</v>
      </c>
      <c r="Q155" s="94">
        <v>969424309287</v>
      </c>
      <c r="R155" s="94">
        <v>989662539521</v>
      </c>
      <c r="S155" s="140">
        <f t="shared" si="22"/>
        <v>-20238230234</v>
      </c>
      <c r="T155" s="94">
        <f>222930621643+144294749027</f>
        <v>367225370670</v>
      </c>
      <c r="U155" s="94">
        <v>1714871478033</v>
      </c>
      <c r="V155" s="135">
        <f t="shared" si="23"/>
        <v>0.21414162832261727</v>
      </c>
    </row>
    <row r="156" spans="2:22" ht="31.5">
      <c r="B156" s="74" t="s">
        <v>164</v>
      </c>
      <c r="C156" s="94">
        <v>467304062732</v>
      </c>
      <c r="D156" s="94">
        <v>149060988246</v>
      </c>
      <c r="E156" s="94">
        <v>648899377240</v>
      </c>
      <c r="F156" s="124">
        <f t="shared" si="16"/>
        <v>0.49043516706642726</v>
      </c>
      <c r="G156" s="94">
        <v>76682141187</v>
      </c>
      <c r="H156" s="94">
        <v>352531773903</v>
      </c>
      <c r="I156" s="95">
        <v>360</v>
      </c>
      <c r="J156" s="106">
        <f t="shared" si="17"/>
        <v>78.306617646657131</v>
      </c>
      <c r="K156" s="177">
        <f t="shared" si="18"/>
        <v>214685781274</v>
      </c>
      <c r="L156" s="94">
        <f>15371431200+321387023097</f>
        <v>336758454297</v>
      </c>
      <c r="M156" s="94">
        <v>694782752351</v>
      </c>
      <c r="N156" s="108">
        <f t="shared" si="19"/>
        <v>174.49057728720618</v>
      </c>
      <c r="O156" s="178">
        <f t="shared" si="20"/>
        <v>37.954908107149251</v>
      </c>
      <c r="P156" s="179">
        <f t="shared" si="21"/>
        <v>214.84228682671403</v>
      </c>
      <c r="Q156" s="94">
        <v>181595314508</v>
      </c>
      <c r="R156" s="94">
        <v>180880469095</v>
      </c>
      <c r="S156" s="140">
        <f t="shared" si="22"/>
        <v>714845413</v>
      </c>
      <c r="T156" s="94">
        <v>214685781274</v>
      </c>
      <c r="U156" s="94">
        <v>434213595966</v>
      </c>
      <c r="V156" s="135">
        <f t="shared" si="23"/>
        <v>0.49442436457197075</v>
      </c>
    </row>
    <row r="157" spans="2:22" ht="31.5">
      <c r="B157" s="74" t="s">
        <v>165</v>
      </c>
      <c r="C157" s="94">
        <v>380988168593</v>
      </c>
      <c r="D157" s="94">
        <v>102898339772</v>
      </c>
      <c r="E157" s="94">
        <v>497090038108</v>
      </c>
      <c r="F157" s="124">
        <f t="shared" si="16"/>
        <v>0.5594355297874245</v>
      </c>
      <c r="G157" s="94">
        <v>78917127036</v>
      </c>
      <c r="H157" s="94">
        <v>181547126367</v>
      </c>
      <c r="I157" s="95">
        <v>360</v>
      </c>
      <c r="J157" s="106">
        <f t="shared" si="17"/>
        <v>156.48920641976156</v>
      </c>
      <c r="K157" s="177">
        <f t="shared" si="18"/>
        <v>120064018299</v>
      </c>
      <c r="L157" s="94">
        <v>229770502718</v>
      </c>
      <c r="M157" s="94">
        <v>428092732505</v>
      </c>
      <c r="N157" s="108">
        <f t="shared" si="19"/>
        <v>193.22304420926812</v>
      </c>
      <c r="O157" s="178">
        <f t="shared" si="20"/>
        <v>83.992557917552432</v>
      </c>
      <c r="P157" s="179">
        <f t="shared" si="21"/>
        <v>265.71969271147725</v>
      </c>
      <c r="Q157" s="94">
        <v>116101869515</v>
      </c>
      <c r="R157" s="94">
        <v>123444372594</v>
      </c>
      <c r="S157" s="140">
        <f t="shared" si="22"/>
        <v>-7342503079</v>
      </c>
      <c r="T157" s="94">
        <v>120064018299</v>
      </c>
      <c r="U157" s="94">
        <v>377026019809</v>
      </c>
      <c r="V157" s="135">
        <f t="shared" si="23"/>
        <v>0.31845021826298353</v>
      </c>
    </row>
    <row r="158" spans="2:22" ht="31.5">
      <c r="B158" s="74" t="s">
        <v>166</v>
      </c>
      <c r="C158" s="94">
        <v>6623114</v>
      </c>
      <c r="D158" s="94">
        <v>10127542</v>
      </c>
      <c r="E158" s="94">
        <v>9106831</v>
      </c>
      <c r="F158" s="124">
        <f t="shared" si="16"/>
        <v>-0.38481311446319799</v>
      </c>
      <c r="G158" s="94">
        <v>2297502</v>
      </c>
      <c r="H158" s="94">
        <v>17835061</v>
      </c>
      <c r="I158" s="95">
        <v>360</v>
      </c>
      <c r="J158" s="106">
        <f t="shared" si="17"/>
        <v>46.374986886784413</v>
      </c>
      <c r="K158" s="177">
        <f t="shared" si="18"/>
        <v>10902585</v>
      </c>
      <c r="L158" s="94">
        <f>2822930+421696</f>
        <v>3244626</v>
      </c>
      <c r="M158" s="94">
        <v>36484030</v>
      </c>
      <c r="N158" s="108">
        <f t="shared" si="19"/>
        <v>32.015798693291288</v>
      </c>
      <c r="O158" s="178">
        <f t="shared" si="20"/>
        <v>4.1242562349203133</v>
      </c>
      <c r="P158" s="179">
        <f t="shared" si="21"/>
        <v>74.266529345155391</v>
      </c>
      <c r="Q158" s="94">
        <v>9106831</v>
      </c>
      <c r="R158" s="94">
        <v>7943500</v>
      </c>
      <c r="S158" s="140">
        <f t="shared" si="22"/>
        <v>1163331</v>
      </c>
      <c r="T158" s="94">
        <v>10902585</v>
      </c>
      <c r="U158" s="94">
        <v>4827360</v>
      </c>
      <c r="V158" s="135">
        <f t="shared" si="23"/>
        <v>2.2584984339266181</v>
      </c>
    </row>
    <row r="159" spans="2:22" ht="15.75">
      <c r="B159" s="73" t="s">
        <v>167</v>
      </c>
      <c r="C159" s="94"/>
      <c r="D159" s="94"/>
      <c r="E159" s="94"/>
      <c r="F159" s="124" t="e">
        <f t="shared" si="16"/>
        <v>#DIV/0!</v>
      </c>
      <c r="G159" s="94"/>
      <c r="H159" s="94"/>
      <c r="I159" s="94"/>
      <c r="J159" s="106" t="e">
        <f t="shared" si="17"/>
        <v>#DIV/0!</v>
      </c>
      <c r="K159" s="177">
        <f t="shared" si="18"/>
        <v>0</v>
      </c>
      <c r="L159" s="94"/>
      <c r="M159" s="94"/>
      <c r="N159" s="108" t="e">
        <f t="shared" si="19"/>
        <v>#DIV/0!</v>
      </c>
      <c r="O159" s="178" t="e">
        <f t="shared" si="20"/>
        <v>#DIV/0!</v>
      </c>
      <c r="P159" s="179" t="e">
        <f t="shared" si="21"/>
        <v>#DIV/0!</v>
      </c>
      <c r="Q159" s="94"/>
      <c r="R159" s="94"/>
      <c r="S159" s="140">
        <f t="shared" si="22"/>
        <v>0</v>
      </c>
      <c r="T159" s="94"/>
      <c r="U159" s="94"/>
      <c r="V159" s="135" t="e">
        <f t="shared" si="23"/>
        <v>#DIV/0!</v>
      </c>
    </row>
    <row r="160" spans="2:22" ht="31.5">
      <c r="B160" s="74" t="s">
        <v>168</v>
      </c>
      <c r="C160" s="94">
        <v>204898872797</v>
      </c>
      <c r="D160" s="94">
        <v>58865969544</v>
      </c>
      <c r="E160" s="94">
        <v>382807494765</v>
      </c>
      <c r="F160" s="124">
        <f t="shared" si="16"/>
        <v>0.38147869425244008</v>
      </c>
      <c r="G160" s="94">
        <v>80002479829</v>
      </c>
      <c r="H160" s="94">
        <v>209946482466</v>
      </c>
      <c r="I160" s="95">
        <v>360</v>
      </c>
      <c r="J160" s="106">
        <f t="shared" si="17"/>
        <v>137.18206849740477</v>
      </c>
      <c r="K160" s="177">
        <f t="shared" si="18"/>
        <v>67734182851</v>
      </c>
      <c r="L160" s="94">
        <f>47657551328+2497788450</f>
        <v>50155339778</v>
      </c>
      <c r="M160" s="94">
        <v>315229890328</v>
      </c>
      <c r="N160" s="108">
        <f t="shared" si="19"/>
        <v>57.278585800644173</v>
      </c>
      <c r="O160" s="178">
        <f t="shared" si="20"/>
        <v>21.826652446495679</v>
      </c>
      <c r="P160" s="179">
        <f t="shared" si="21"/>
        <v>172.63400185155328</v>
      </c>
      <c r="Q160" s="94">
        <v>177908621968</v>
      </c>
      <c r="R160" s="94">
        <v>161524828535</v>
      </c>
      <c r="S160" s="140">
        <f t="shared" si="22"/>
        <v>16383793433</v>
      </c>
      <c r="T160" s="94">
        <v>67734182851</v>
      </c>
      <c r="U160" s="94">
        <v>315073311914</v>
      </c>
      <c r="V160" s="135">
        <f t="shared" si="23"/>
        <v>0.21497911847731555</v>
      </c>
    </row>
    <row r="161" spans="2:22" ht="31.5">
      <c r="B161" s="72" t="s">
        <v>169</v>
      </c>
      <c r="C161" s="94">
        <v>73424766792</v>
      </c>
      <c r="D161" s="94">
        <v>12782596690</v>
      </c>
      <c r="E161" s="94">
        <v>133831888816</v>
      </c>
      <c r="F161" s="124">
        <f t="shared" si="16"/>
        <v>0.45312197741880816</v>
      </c>
      <c r="G161" s="94">
        <v>57384023808</v>
      </c>
      <c r="H161" s="94">
        <v>73336794428</v>
      </c>
      <c r="I161" s="95">
        <v>360</v>
      </c>
      <c r="J161" s="106">
        <f t="shared" si="17"/>
        <v>281.69009474721025</v>
      </c>
      <c r="K161" s="177">
        <f t="shared" si="18"/>
        <v>40460281468</v>
      </c>
      <c r="L161" s="94">
        <f>1893446209+7275690370</f>
        <v>9169136579</v>
      </c>
      <c r="M161" s="94">
        <v>91734724118</v>
      </c>
      <c r="N161" s="108">
        <f t="shared" si="19"/>
        <v>35.982984635065861</v>
      </c>
      <c r="O161" s="178">
        <f t="shared" si="20"/>
        <v>28.155695419830874</v>
      </c>
      <c r="P161" s="179">
        <f t="shared" si="21"/>
        <v>289.51738396244525</v>
      </c>
      <c r="Q161" s="94">
        <v>60407122024</v>
      </c>
      <c r="R161" s="94">
        <v>35294422814</v>
      </c>
      <c r="S161" s="140">
        <f t="shared" si="22"/>
        <v>25112699210</v>
      </c>
      <c r="T161" s="94">
        <v>40460281468</v>
      </c>
      <c r="U161" s="94">
        <v>93371607348</v>
      </c>
      <c r="V161" s="135">
        <f t="shared" si="23"/>
        <v>0.43332531823301262</v>
      </c>
    </row>
    <row r="162" spans="2:22" ht="32.25" thickBot="1">
      <c r="B162" s="93" t="s">
        <v>170</v>
      </c>
      <c r="C162" s="155">
        <v>442484119278</v>
      </c>
      <c r="D162" s="155">
        <v>351301587089</v>
      </c>
      <c r="E162" s="155">
        <v>793093512600</v>
      </c>
      <c r="F162" s="124">
        <f t="shared" si="16"/>
        <v>0.11497072002275763</v>
      </c>
      <c r="G162" s="155">
        <v>190669843103</v>
      </c>
      <c r="H162" s="155">
        <v>347849400201</v>
      </c>
      <c r="I162" s="95">
        <v>360</v>
      </c>
      <c r="J162" s="106">
        <f t="shared" si="17"/>
        <v>197.3300614502042</v>
      </c>
      <c r="K162" s="177">
        <f t="shared" si="18"/>
        <v>391881675091</v>
      </c>
      <c r="L162" s="155">
        <f>1592516930+1028243016</f>
        <v>2620759946</v>
      </c>
      <c r="M162" s="155">
        <v>452693585202</v>
      </c>
      <c r="N162" s="108">
        <f t="shared" si="19"/>
        <v>2.084132869121627</v>
      </c>
      <c r="O162" s="178">
        <f t="shared" si="20"/>
        <v>1.1423946309282251</v>
      </c>
      <c r="P162" s="179">
        <f t="shared" si="21"/>
        <v>198.27179968839758</v>
      </c>
      <c r="Q162" s="155">
        <v>350609393322</v>
      </c>
      <c r="R162" s="155">
        <v>353780855584</v>
      </c>
      <c r="S162" s="140">
        <f t="shared" si="22"/>
        <v>-3171462262</v>
      </c>
      <c r="T162" s="155">
        <v>391881675091</v>
      </c>
      <c r="U162" s="155">
        <v>401211837509</v>
      </c>
      <c r="V162" s="135">
        <f t="shared" si="23"/>
        <v>0.97674504701574094</v>
      </c>
    </row>
    <row r="163" spans="2:22" ht="15.75"/>
    <row r="164" spans="2:22" ht="15.75"/>
    <row r="165" spans="2:22" ht="15.75"/>
    <row r="166" spans="2:22" ht="15.75"/>
    <row r="167" spans="2:22" ht="15.75"/>
    <row r="168" spans="2:22" ht="15.75"/>
    <row r="169" spans="2:22" ht="15.75"/>
    <row r="170" spans="2:22" ht="15.75"/>
    <row r="171" spans="2:22" ht="15.75"/>
    <row r="172" spans="2:22" ht="15.75"/>
    <row r="173" spans="2:22" ht="15.75"/>
    <row r="174" spans="2:22" ht="15.75"/>
    <row r="175" spans="2:22" ht="15.75"/>
    <row r="176" spans="2:22" ht="15.75"/>
    <row r="177" spans="9:9" ht="15.75">
      <c r="I177" s="62"/>
    </row>
    <row r="178" spans="9:9" ht="15.75">
      <c r="I178" s="62"/>
    </row>
    <row r="179" spans="9:9" ht="15.75">
      <c r="I179" s="62"/>
    </row>
    <row r="180" spans="9:9" ht="15.75">
      <c r="I180" s="62"/>
    </row>
    <row r="181" spans="9:9" ht="15.75">
      <c r="I181" s="62"/>
    </row>
    <row r="182" spans="9:9" ht="15.75">
      <c r="I182" s="62"/>
    </row>
    <row r="183" spans="9:9" ht="15.75">
      <c r="I183" s="62"/>
    </row>
    <row r="184" spans="9:9" ht="15.75">
      <c r="I184" s="62"/>
    </row>
    <row r="185" spans="9:9" ht="15.75">
      <c r="I185" s="62"/>
    </row>
    <row r="186" spans="9:9" ht="15.75">
      <c r="I186" s="62"/>
    </row>
    <row r="187" spans="9:9" ht="15.75">
      <c r="I187" s="62"/>
    </row>
    <row r="188" spans="9:9" ht="15.75">
      <c r="I188" s="62"/>
    </row>
    <row r="189" spans="9:9" ht="15.75">
      <c r="I189" s="62"/>
    </row>
    <row r="190" spans="9:9" ht="15.75">
      <c r="I190" s="62"/>
    </row>
    <row r="191" spans="9:9" ht="15.75">
      <c r="I191" s="62"/>
    </row>
    <row r="192" spans="9:9" ht="15.75">
      <c r="I192" s="62"/>
    </row>
    <row r="193" spans="9:9" ht="15.75">
      <c r="I193" s="62"/>
    </row>
    <row r="194" spans="9:9" ht="15.75">
      <c r="I194" s="62"/>
    </row>
    <row r="195" spans="9:9" ht="15.75">
      <c r="I195" s="62"/>
    </row>
    <row r="196" spans="9:9" ht="15.75">
      <c r="I196" s="62"/>
    </row>
    <row r="197" spans="9:9" ht="15.75">
      <c r="I197" s="62"/>
    </row>
    <row r="198" spans="9:9" ht="15.75">
      <c r="I198" s="62"/>
    </row>
    <row r="199" spans="9:9" ht="15.75">
      <c r="I199" s="62"/>
    </row>
    <row r="200" spans="9:9" ht="15.75">
      <c r="I200" s="62"/>
    </row>
    <row r="201" spans="9:9" ht="15.75">
      <c r="I201" s="62"/>
    </row>
    <row r="202" spans="9:9" ht="15.75">
      <c r="I202" s="62"/>
    </row>
    <row r="203" spans="9:9" ht="15.75">
      <c r="I203" s="62"/>
    </row>
    <row r="204" spans="9:9" ht="15.75">
      <c r="I204" s="62"/>
    </row>
    <row r="205" spans="9:9" ht="15.75">
      <c r="I205" s="62"/>
    </row>
    <row r="206" spans="9:9" ht="15.75">
      <c r="I206" s="62"/>
    </row>
    <row r="207" spans="9:9" ht="15.75">
      <c r="I207" s="62"/>
    </row>
    <row r="208" spans="9:9" ht="15.75">
      <c r="I208" s="62"/>
    </row>
    <row r="209" spans="9:9" ht="15.75">
      <c r="I209" s="62"/>
    </row>
    <row r="210" spans="9:9" ht="15.75">
      <c r="I210" s="62"/>
    </row>
    <row r="211" spans="9:9" ht="15.75">
      <c r="I211" s="62"/>
    </row>
    <row r="212" spans="9:9" ht="15.75">
      <c r="I212" s="62"/>
    </row>
    <row r="213" spans="9:9" ht="15.75">
      <c r="I213" s="62"/>
    </row>
    <row r="214" spans="9:9" ht="15.75">
      <c r="I214" s="62"/>
    </row>
    <row r="215" spans="9:9" ht="15.75">
      <c r="I215" s="62"/>
    </row>
    <row r="216" spans="9:9" ht="15.75">
      <c r="I216" s="62"/>
    </row>
    <row r="217" spans="9:9" ht="15.75">
      <c r="I217" s="62"/>
    </row>
    <row r="218" spans="9:9" ht="15.75">
      <c r="I218" s="62"/>
    </row>
    <row r="219" spans="9:9" ht="15.75">
      <c r="I219" s="62"/>
    </row>
    <row r="220" spans="9:9" ht="15.75">
      <c r="I220" s="62"/>
    </row>
    <row r="221" spans="9:9" ht="15.75">
      <c r="I221" s="62"/>
    </row>
    <row r="222" spans="9:9" ht="15.75">
      <c r="I222" s="62"/>
    </row>
    <row r="223" spans="9:9" ht="15.75">
      <c r="I223" s="62"/>
    </row>
    <row r="224" spans="9:9" ht="15.75">
      <c r="I224" s="62"/>
    </row>
    <row r="225" spans="9:9" ht="15.75">
      <c r="I225" s="62"/>
    </row>
    <row r="226" spans="9:9" ht="15.75">
      <c r="I226" s="62"/>
    </row>
    <row r="227" spans="9:9" ht="15.75">
      <c r="I227" s="62"/>
    </row>
    <row r="228" spans="9:9" ht="15.75">
      <c r="I228" s="62"/>
    </row>
    <row r="229" spans="9:9" ht="15.75">
      <c r="I229" s="62"/>
    </row>
    <row r="230" spans="9:9" ht="15.75">
      <c r="I230" s="62"/>
    </row>
    <row r="231" spans="9:9" ht="15.75">
      <c r="I231" s="62"/>
    </row>
    <row r="232" spans="9:9" ht="15.75">
      <c r="I232" s="62"/>
    </row>
    <row r="233" spans="9:9" ht="15.75">
      <c r="I233" s="62"/>
    </row>
    <row r="234" spans="9:9" ht="15.75">
      <c r="I234" s="62"/>
    </row>
    <row r="235" spans="9:9" ht="15.75">
      <c r="I235" s="62"/>
    </row>
    <row r="236" spans="9:9" ht="15.75">
      <c r="I236" s="62"/>
    </row>
    <row r="237" spans="9:9" ht="15.75">
      <c r="I237" s="62"/>
    </row>
    <row r="238" spans="9:9" ht="15.75">
      <c r="I238" s="62"/>
    </row>
    <row r="239" spans="9:9" ht="15.75">
      <c r="I239" s="62"/>
    </row>
    <row r="240" spans="9:9" ht="15.75">
      <c r="I240" s="62"/>
    </row>
    <row r="241" spans="9:9" ht="15.75">
      <c r="I241" s="62"/>
    </row>
    <row r="242" spans="9:9" ht="15.75">
      <c r="I242" s="62"/>
    </row>
    <row r="243" spans="9:9" ht="15.75">
      <c r="I243" s="62"/>
    </row>
    <row r="244" spans="9:9" ht="15.75">
      <c r="I244" s="62"/>
    </row>
    <row r="245" spans="9:9" ht="15.75">
      <c r="I245" s="62"/>
    </row>
    <row r="246" spans="9:9" ht="15.75">
      <c r="I246" s="62"/>
    </row>
    <row r="247" spans="9:9" ht="15.75">
      <c r="I247" s="62"/>
    </row>
    <row r="248" spans="9:9" ht="15.75">
      <c r="I248" s="62"/>
    </row>
    <row r="249" spans="9:9" ht="15.75">
      <c r="I249" s="62"/>
    </row>
    <row r="250" spans="9:9" ht="15.75">
      <c r="I250" s="62"/>
    </row>
    <row r="251" spans="9:9" ht="15.75">
      <c r="I251" s="62"/>
    </row>
    <row r="252" spans="9:9" ht="15.75">
      <c r="I252" s="62"/>
    </row>
    <row r="253" spans="9:9" ht="15.75">
      <c r="I253" s="62"/>
    </row>
    <row r="254" spans="9:9" ht="15.75">
      <c r="I254" s="62"/>
    </row>
    <row r="255" spans="9:9" ht="15.75">
      <c r="I255" s="62"/>
    </row>
    <row r="256" spans="9:9" ht="15.75">
      <c r="I256" s="62"/>
    </row>
    <row r="257" spans="9:9" ht="15.75">
      <c r="I257" s="62"/>
    </row>
    <row r="258" spans="9:9" ht="15.75">
      <c r="I258" s="62"/>
    </row>
    <row r="259" spans="9:9" ht="15.75">
      <c r="I259" s="62"/>
    </row>
    <row r="260" spans="9:9" ht="15.75">
      <c r="I260" s="62"/>
    </row>
    <row r="261" spans="9:9" ht="15.75">
      <c r="I261" s="62"/>
    </row>
    <row r="262" spans="9:9" ht="15.75">
      <c r="I262" s="62"/>
    </row>
    <row r="263" spans="9:9" ht="15.75">
      <c r="I263" s="62"/>
    </row>
    <row r="264" spans="9:9" ht="15.75">
      <c r="I264" s="62"/>
    </row>
    <row r="265" spans="9:9" ht="15.75">
      <c r="I265" s="62"/>
    </row>
    <row r="266" spans="9:9" ht="15.75">
      <c r="I266" s="62"/>
    </row>
    <row r="267" spans="9:9" ht="15.75">
      <c r="I267" s="62"/>
    </row>
    <row r="268" spans="9:9" ht="15.75">
      <c r="I268" s="62"/>
    </row>
    <row r="269" spans="9:9" ht="15.75">
      <c r="I269" s="62"/>
    </row>
    <row r="270" spans="9:9" ht="15.75">
      <c r="I270" s="62"/>
    </row>
    <row r="271" spans="9:9" ht="15.75">
      <c r="I271" s="62"/>
    </row>
    <row r="272" spans="9:9" ht="15.75">
      <c r="I272" s="62"/>
    </row>
    <row r="273" spans="9:9" ht="15.75">
      <c r="I273" s="62"/>
    </row>
    <row r="274" spans="9:9" ht="15.75">
      <c r="I274" s="62"/>
    </row>
    <row r="275" spans="9:9" ht="15.75">
      <c r="I275" s="62"/>
    </row>
    <row r="276" spans="9:9" ht="15.75">
      <c r="I276" s="62"/>
    </row>
    <row r="277" spans="9:9" ht="15.75">
      <c r="I277" s="62"/>
    </row>
    <row r="278" spans="9:9" ht="15.75">
      <c r="I278" s="62"/>
    </row>
    <row r="279" spans="9:9" ht="15.75">
      <c r="I279" s="62"/>
    </row>
    <row r="280" spans="9:9" ht="15.75">
      <c r="I280" s="62"/>
    </row>
    <row r="281" spans="9:9" ht="15.75">
      <c r="I281" s="62"/>
    </row>
    <row r="282" spans="9:9" ht="15.75">
      <c r="I282" s="62"/>
    </row>
    <row r="283" spans="9:9" ht="15.75">
      <c r="I283" s="62"/>
    </row>
    <row r="284" spans="9:9" ht="15.75">
      <c r="I284" s="62"/>
    </row>
    <row r="285" spans="9:9" ht="15.75">
      <c r="I285" s="62"/>
    </row>
    <row r="286" spans="9:9" ht="15.75">
      <c r="I286" s="62"/>
    </row>
    <row r="287" spans="9:9" ht="15.75">
      <c r="I287" s="62"/>
    </row>
    <row r="288" spans="9:9" ht="15.75">
      <c r="I288" s="62"/>
    </row>
    <row r="289" spans="9:9" ht="15.75">
      <c r="I289" s="62"/>
    </row>
    <row r="290" spans="9:9" ht="15.75">
      <c r="I290" s="62"/>
    </row>
    <row r="291" spans="9:9" ht="15.75">
      <c r="I291" s="62"/>
    </row>
    <row r="292" spans="9:9" ht="15.75">
      <c r="I292" s="62"/>
    </row>
    <row r="293" spans="9:9" ht="15.75">
      <c r="I293" s="62"/>
    </row>
    <row r="294" spans="9:9" ht="15.75">
      <c r="I294" s="62"/>
    </row>
    <row r="295" spans="9:9" ht="15.75">
      <c r="I295" s="62"/>
    </row>
    <row r="296" spans="9:9" ht="15.75">
      <c r="I296" s="62"/>
    </row>
    <row r="297" spans="9:9" ht="15.75">
      <c r="I297" s="62"/>
    </row>
    <row r="298" spans="9:9" ht="15.75">
      <c r="I298" s="62"/>
    </row>
    <row r="299" spans="9:9" ht="15.75">
      <c r="I299" s="62"/>
    </row>
    <row r="300" spans="9:9" ht="15.75">
      <c r="I300" s="62"/>
    </row>
    <row r="301" spans="9:9" ht="15.75">
      <c r="I301" s="62"/>
    </row>
    <row r="302" spans="9:9" ht="15.75">
      <c r="I302" s="62"/>
    </row>
    <row r="303" spans="9:9" ht="15.75">
      <c r="I303" s="62"/>
    </row>
    <row r="304" spans="9:9" ht="15.75">
      <c r="I304" s="62"/>
    </row>
    <row r="305" spans="9:9" ht="15.75">
      <c r="I305" s="62"/>
    </row>
    <row r="306" spans="9:9" ht="15.75">
      <c r="I306" s="62"/>
    </row>
    <row r="307" spans="9:9" ht="15.75">
      <c r="I307" s="62"/>
    </row>
    <row r="308" spans="9:9" ht="15.75">
      <c r="I308" s="62"/>
    </row>
    <row r="309" spans="9:9" ht="15.75">
      <c r="I309" s="62"/>
    </row>
    <row r="310" spans="9:9" ht="15.75">
      <c r="I310" s="62"/>
    </row>
    <row r="311" spans="9:9" ht="15.75">
      <c r="I311" s="62"/>
    </row>
    <row r="312" spans="9:9" ht="15.75">
      <c r="I312" s="62"/>
    </row>
    <row r="313" spans="9:9" ht="15.75">
      <c r="I313" s="62"/>
    </row>
    <row r="314" spans="9:9" ht="15.75">
      <c r="I314" s="62"/>
    </row>
    <row r="315" spans="9:9" ht="15.75">
      <c r="I315" s="62"/>
    </row>
    <row r="316" spans="9:9" ht="15.75">
      <c r="I316" s="62"/>
    </row>
    <row r="317" spans="9:9" ht="15.75">
      <c r="I317" s="62"/>
    </row>
    <row r="318" spans="9:9" ht="15.75">
      <c r="I318" s="62"/>
    </row>
    <row r="319" spans="9:9" ht="15.75">
      <c r="I319" s="62"/>
    </row>
    <row r="320" spans="9:9" ht="15.75">
      <c r="I320" s="62"/>
    </row>
    <row r="321" spans="9:9" ht="15.75">
      <c r="I321" s="62"/>
    </row>
    <row r="322" spans="9:9" ht="15.75">
      <c r="I322" s="62"/>
    </row>
    <row r="323" spans="9:9" ht="15.75">
      <c r="I323" s="62"/>
    </row>
    <row r="324" spans="9:9" ht="15.75">
      <c r="I324" s="62"/>
    </row>
    <row r="325" spans="9:9" ht="15.75">
      <c r="I325" s="62"/>
    </row>
    <row r="326" spans="9:9" ht="15.75">
      <c r="I326" s="62"/>
    </row>
    <row r="327" spans="9:9" ht="15.75">
      <c r="I327" s="62"/>
    </row>
    <row r="328" spans="9:9" ht="15.75">
      <c r="I328" s="62"/>
    </row>
    <row r="329" spans="9:9" ht="15.75">
      <c r="I329" s="62"/>
    </row>
    <row r="330" spans="9:9" ht="15.75">
      <c r="I330" s="62"/>
    </row>
    <row r="331" spans="9:9" ht="15.75">
      <c r="I331" s="62"/>
    </row>
    <row r="332" spans="9:9" ht="15.75">
      <c r="I332" s="62"/>
    </row>
    <row r="333" spans="9:9" ht="15.75">
      <c r="I333" s="62"/>
    </row>
    <row r="334" spans="9:9" ht="15.75">
      <c r="I334" s="62"/>
    </row>
    <row r="335" spans="9:9" ht="15.75">
      <c r="I335" s="62"/>
    </row>
    <row r="336" spans="9:9" ht="15.75">
      <c r="I336" s="62"/>
    </row>
    <row r="337" spans="9:9" ht="15.75">
      <c r="I337" s="62"/>
    </row>
    <row r="338" spans="9:9" ht="15.75">
      <c r="I338" s="62"/>
    </row>
    <row r="339" spans="9:9" ht="15.75">
      <c r="I339" s="62"/>
    </row>
    <row r="340" spans="9:9" ht="15.75">
      <c r="I340" s="62"/>
    </row>
    <row r="341" spans="9:9" ht="15.75">
      <c r="I341" s="62"/>
    </row>
    <row r="342" spans="9:9" ht="15.75">
      <c r="I342" s="62"/>
    </row>
    <row r="343" spans="9:9" ht="15.75">
      <c r="I343" s="62"/>
    </row>
    <row r="344" spans="9:9" ht="15.75">
      <c r="I344" s="62"/>
    </row>
    <row r="345" spans="9:9" ht="15.75">
      <c r="I345" s="62"/>
    </row>
    <row r="346" spans="9:9" ht="15.75">
      <c r="I346" s="62"/>
    </row>
    <row r="347" spans="9:9" ht="15.75">
      <c r="I347" s="62"/>
    </row>
    <row r="348" spans="9:9" ht="15.75">
      <c r="I348" s="62"/>
    </row>
    <row r="349" spans="9:9" ht="15.75">
      <c r="I349" s="62"/>
    </row>
    <row r="350" spans="9:9" ht="15.75">
      <c r="I350" s="62"/>
    </row>
    <row r="351" spans="9:9" ht="15.75">
      <c r="I351" s="62"/>
    </row>
    <row r="352" spans="9:9" ht="15.75">
      <c r="I352" s="62"/>
    </row>
    <row r="353" spans="9:9" ht="15.75">
      <c r="I353" s="62"/>
    </row>
    <row r="354" spans="9:9" ht="15.75">
      <c r="I354" s="62"/>
    </row>
    <row r="355" spans="9:9" ht="15.75">
      <c r="I355" s="62"/>
    </row>
    <row r="356" spans="9:9" ht="15.75">
      <c r="I356" s="62"/>
    </row>
    <row r="357" spans="9:9" ht="15.75">
      <c r="I357" s="62"/>
    </row>
    <row r="358" spans="9:9" ht="15.75">
      <c r="I358" s="62"/>
    </row>
    <row r="359" spans="9:9" ht="15.75">
      <c r="I359" s="62"/>
    </row>
    <row r="360" spans="9:9" ht="15.75">
      <c r="I360" s="62"/>
    </row>
    <row r="361" spans="9:9" ht="15.75">
      <c r="I361" s="62"/>
    </row>
    <row r="362" spans="9:9" ht="15.75">
      <c r="I362" s="62"/>
    </row>
    <row r="363" spans="9:9" ht="15.75">
      <c r="I363" s="62"/>
    </row>
    <row r="364" spans="9:9" ht="15.75">
      <c r="I364" s="62"/>
    </row>
    <row r="365" spans="9:9" ht="15.75">
      <c r="I365" s="62"/>
    </row>
    <row r="366" spans="9:9" ht="15.75">
      <c r="I366" s="62"/>
    </row>
    <row r="367" spans="9:9" ht="15.75">
      <c r="I367" s="62"/>
    </row>
    <row r="368" spans="9:9" ht="15.75">
      <c r="I368" s="62"/>
    </row>
    <row r="369" spans="9:9" ht="15.75">
      <c r="I369" s="62"/>
    </row>
    <row r="370" spans="9:9" ht="15.75">
      <c r="I370" s="62"/>
    </row>
    <row r="371" spans="9:9" ht="15.75">
      <c r="I371" s="62"/>
    </row>
    <row r="372" spans="9:9" ht="15.75">
      <c r="I372" s="62"/>
    </row>
    <row r="373" spans="9:9" ht="15.75">
      <c r="I373" s="62"/>
    </row>
    <row r="374" spans="9:9" ht="15.75">
      <c r="I374" s="62"/>
    </row>
    <row r="375" spans="9:9" ht="15.75">
      <c r="I375" s="62"/>
    </row>
    <row r="376" spans="9:9" ht="15.75">
      <c r="I376" s="62"/>
    </row>
    <row r="377" spans="9:9" ht="15.75">
      <c r="I377" s="62"/>
    </row>
    <row r="378" spans="9:9" ht="15.75">
      <c r="I378" s="62"/>
    </row>
    <row r="379" spans="9:9" ht="15.75">
      <c r="I379" s="62"/>
    </row>
    <row r="380" spans="9:9" ht="15.75">
      <c r="I380" s="62"/>
    </row>
    <row r="381" spans="9:9" ht="15.75">
      <c r="I381" s="62"/>
    </row>
    <row r="382" spans="9:9" ht="15.75">
      <c r="I382" s="62"/>
    </row>
    <row r="383" spans="9:9" ht="15.75">
      <c r="I383" s="62"/>
    </row>
    <row r="384" spans="9:9" ht="15.75">
      <c r="I384" s="62"/>
    </row>
    <row r="385" spans="9:9" ht="15.75">
      <c r="I385" s="62"/>
    </row>
    <row r="386" spans="9:9" ht="15.75">
      <c r="I386" s="62"/>
    </row>
    <row r="387" spans="9:9" ht="15.75">
      <c r="I387" s="62"/>
    </row>
    <row r="388" spans="9:9" ht="15.75">
      <c r="I388" s="62"/>
    </row>
    <row r="389" spans="9:9" ht="15.75">
      <c r="I389" s="62"/>
    </row>
    <row r="390" spans="9:9" ht="15.75">
      <c r="I390" s="62"/>
    </row>
    <row r="391" spans="9:9" ht="15.75">
      <c r="I391" s="62"/>
    </row>
    <row r="392" spans="9:9" ht="15.75">
      <c r="I392" s="62"/>
    </row>
    <row r="393" spans="9:9" ht="15.75">
      <c r="I393" s="62"/>
    </row>
    <row r="394" spans="9:9" ht="15.75">
      <c r="I394" s="62"/>
    </row>
    <row r="395" spans="9:9" ht="15.75">
      <c r="I395" s="62"/>
    </row>
    <row r="396" spans="9:9" ht="15.75">
      <c r="I396" s="62"/>
    </row>
    <row r="397" spans="9:9" ht="15.75">
      <c r="I397" s="62"/>
    </row>
    <row r="398" spans="9:9" ht="15.75">
      <c r="I398" s="62"/>
    </row>
    <row r="399" spans="9:9" ht="15.75">
      <c r="I399" s="62"/>
    </row>
    <row r="400" spans="9:9" ht="15.75">
      <c r="I400" s="62"/>
    </row>
    <row r="401" spans="9:9" ht="15.75">
      <c r="I401" s="62"/>
    </row>
    <row r="402" spans="9:9" ht="15.75">
      <c r="I402" s="62"/>
    </row>
    <row r="403" spans="9:9" ht="15.75">
      <c r="I403" s="62"/>
    </row>
    <row r="404" spans="9:9" ht="15.75">
      <c r="I404" s="62"/>
    </row>
    <row r="405" spans="9:9" ht="15.75">
      <c r="I405" s="62"/>
    </row>
    <row r="406" spans="9:9" ht="15.75">
      <c r="I406" s="62"/>
    </row>
    <row r="407" spans="9:9" ht="15.75">
      <c r="I407" s="62"/>
    </row>
    <row r="408" spans="9:9" ht="15.75">
      <c r="I408" s="62"/>
    </row>
    <row r="409" spans="9:9" ht="15.75">
      <c r="I409" s="62"/>
    </row>
    <row r="410" spans="9:9" ht="15.75">
      <c r="I410" s="62"/>
    </row>
    <row r="411" spans="9:9" ht="15.75">
      <c r="I411" s="62"/>
    </row>
    <row r="412" spans="9:9" ht="15.75">
      <c r="I412" s="62"/>
    </row>
    <row r="413" spans="9:9" ht="15.75">
      <c r="I413" s="62"/>
    </row>
    <row r="414" spans="9:9" ht="15.75">
      <c r="I414" s="62"/>
    </row>
    <row r="415" spans="9:9" ht="15.75">
      <c r="I415" s="62"/>
    </row>
    <row r="416" spans="9:9" ht="15.75">
      <c r="I416" s="62"/>
    </row>
    <row r="417" spans="9:9" ht="15.75">
      <c r="I417" s="62"/>
    </row>
    <row r="418" spans="9:9" ht="15.75">
      <c r="I418" s="62"/>
    </row>
    <row r="419" spans="9:9" ht="15.75">
      <c r="I419" s="62"/>
    </row>
    <row r="420" spans="9:9" ht="15.75">
      <c r="I420" s="62"/>
    </row>
    <row r="421" spans="9:9" ht="15.75">
      <c r="I421" s="62"/>
    </row>
    <row r="422" spans="9:9" ht="15.75">
      <c r="I422" s="62"/>
    </row>
    <row r="423" spans="9:9" ht="15.75">
      <c r="I423" s="62"/>
    </row>
    <row r="424" spans="9:9" ht="15.75">
      <c r="I424" s="62"/>
    </row>
    <row r="425" spans="9:9" ht="15.75">
      <c r="I425" s="62"/>
    </row>
    <row r="426" spans="9:9" ht="15.75">
      <c r="I426" s="62"/>
    </row>
    <row r="427" spans="9:9" ht="15.75">
      <c r="I427" s="62"/>
    </row>
    <row r="428" spans="9:9" ht="15.75">
      <c r="I428" s="62"/>
    </row>
    <row r="429" spans="9:9" ht="15.75">
      <c r="I429" s="62"/>
    </row>
    <row r="430" spans="9:9" ht="15.75">
      <c r="I430" s="62"/>
    </row>
    <row r="431" spans="9:9" ht="15.75">
      <c r="I431" s="62"/>
    </row>
    <row r="432" spans="9:9" ht="15.75">
      <c r="I432" s="62"/>
    </row>
    <row r="433" spans="9:9" ht="15.75">
      <c r="I433" s="62"/>
    </row>
    <row r="434" spans="9:9" ht="15.75">
      <c r="I434" s="62"/>
    </row>
    <row r="435" spans="9:9" ht="15.75">
      <c r="I435" s="62"/>
    </row>
    <row r="436" spans="9:9" ht="15.75">
      <c r="I436" s="62"/>
    </row>
    <row r="437" spans="9:9" ht="15.75">
      <c r="I437" s="62"/>
    </row>
    <row r="438" spans="9:9" ht="15.75">
      <c r="I438" s="62"/>
    </row>
    <row r="439" spans="9:9" ht="15.75">
      <c r="I439" s="62"/>
    </row>
    <row r="440" spans="9:9" ht="15.75">
      <c r="I440" s="62"/>
    </row>
    <row r="441" spans="9:9" ht="15.75">
      <c r="I441" s="62"/>
    </row>
    <row r="442" spans="9:9" ht="15.75">
      <c r="I442" s="62"/>
    </row>
    <row r="443" spans="9:9" ht="15.75">
      <c r="I443" s="62"/>
    </row>
    <row r="444" spans="9:9" ht="15.75">
      <c r="I444" s="62"/>
    </row>
    <row r="445" spans="9:9" ht="15.75">
      <c r="I445" s="62"/>
    </row>
    <row r="446" spans="9:9" ht="15.75">
      <c r="I446" s="62"/>
    </row>
    <row r="447" spans="9:9" ht="15.75">
      <c r="I447" s="62"/>
    </row>
    <row r="448" spans="9:9" ht="15.75">
      <c r="I448" s="62"/>
    </row>
    <row r="449" spans="9:9" ht="15.75">
      <c r="I449" s="62"/>
    </row>
    <row r="450" spans="9:9" ht="15.75">
      <c r="I450" s="62"/>
    </row>
    <row r="451" spans="9:9" ht="15.75">
      <c r="I451" s="62"/>
    </row>
    <row r="452" spans="9:9" ht="15.75">
      <c r="I452" s="62"/>
    </row>
    <row r="453" spans="9:9" ht="15.75">
      <c r="I453" s="62"/>
    </row>
    <row r="454" spans="9:9" ht="15.75">
      <c r="I454" s="62"/>
    </row>
    <row r="455" spans="9:9" ht="15.75">
      <c r="I455" s="62"/>
    </row>
    <row r="456" spans="9:9" ht="15.75">
      <c r="I456" s="62"/>
    </row>
    <row r="457" spans="9:9" ht="15.75">
      <c r="I457" s="62"/>
    </row>
    <row r="458" spans="9:9" ht="15.75">
      <c r="I458" s="62"/>
    </row>
    <row r="459" spans="9:9" ht="15.75">
      <c r="I459" s="62"/>
    </row>
    <row r="460" spans="9:9" ht="15.75">
      <c r="I460" s="62"/>
    </row>
    <row r="461" spans="9:9" ht="15.75">
      <c r="I461" s="62"/>
    </row>
    <row r="462" spans="9:9" ht="15.75">
      <c r="I462" s="62"/>
    </row>
    <row r="463" spans="9:9" ht="15.75">
      <c r="I463" s="62"/>
    </row>
    <row r="464" spans="9:9" ht="15.75">
      <c r="I464" s="62"/>
    </row>
    <row r="465" spans="9:9" ht="15.75">
      <c r="I465" s="62"/>
    </row>
    <row r="466" spans="9:9" ht="15.75">
      <c r="I466" s="62"/>
    </row>
    <row r="467" spans="9:9" ht="15.75">
      <c r="I467" s="62"/>
    </row>
    <row r="468" spans="9:9" ht="15.75">
      <c r="I468" s="62"/>
    </row>
    <row r="469" spans="9:9" ht="15.75">
      <c r="I469" s="62"/>
    </row>
    <row r="470" spans="9:9" ht="15.75">
      <c r="I470" s="62"/>
    </row>
    <row r="471" spans="9:9" ht="15.75">
      <c r="I471" s="62"/>
    </row>
    <row r="472" spans="9:9" ht="15.75">
      <c r="I472" s="62"/>
    </row>
    <row r="473" spans="9:9" ht="15.75">
      <c r="I473" s="62"/>
    </row>
    <row r="474" spans="9:9" ht="15.75">
      <c r="I474" s="62"/>
    </row>
    <row r="475" spans="9:9" ht="15.75">
      <c r="I475" s="62"/>
    </row>
    <row r="476" spans="9:9" ht="15.75">
      <c r="I476" s="62"/>
    </row>
    <row r="477" spans="9:9" ht="15.75">
      <c r="I477" s="62"/>
    </row>
    <row r="478" spans="9:9" ht="15.75">
      <c r="I478" s="62"/>
    </row>
    <row r="479" spans="9:9" ht="15.75">
      <c r="I479" s="62"/>
    </row>
    <row r="480" spans="9:9" ht="15.75">
      <c r="I480" s="62"/>
    </row>
    <row r="481" spans="9:9" ht="15.75">
      <c r="I481" s="62"/>
    </row>
    <row r="482" spans="9:9" ht="15.75">
      <c r="I482" s="62"/>
    </row>
    <row r="483" spans="9:9" ht="15.75">
      <c r="I483" s="62"/>
    </row>
    <row r="484" spans="9:9" ht="15.75">
      <c r="I484" s="62"/>
    </row>
    <row r="485" spans="9:9" ht="15.75">
      <c r="I485" s="62"/>
    </row>
    <row r="486" spans="9:9" ht="15.75">
      <c r="I486" s="62"/>
    </row>
    <row r="487" spans="9:9" ht="15.75">
      <c r="I487" s="62"/>
    </row>
    <row r="488" spans="9:9" ht="15.75">
      <c r="I488" s="62"/>
    </row>
    <row r="489" spans="9:9" ht="15.75">
      <c r="I489" s="62"/>
    </row>
    <row r="490" spans="9:9" ht="15.75">
      <c r="I490" s="62"/>
    </row>
    <row r="491" spans="9:9" ht="15.75">
      <c r="I491" s="62"/>
    </row>
    <row r="492" spans="9:9" ht="15.75">
      <c r="I492" s="62"/>
    </row>
    <row r="493" spans="9:9" ht="15.75">
      <c r="I493" s="62"/>
    </row>
    <row r="494" spans="9:9" ht="15.75">
      <c r="I494" s="62"/>
    </row>
    <row r="495" spans="9:9" ht="15.75">
      <c r="I495" s="62"/>
    </row>
    <row r="496" spans="9:9" ht="15.75">
      <c r="I496" s="62"/>
    </row>
    <row r="497" spans="9:9" ht="15.75">
      <c r="I497" s="62"/>
    </row>
    <row r="498" spans="9:9" ht="15.75">
      <c r="I498" s="62"/>
    </row>
    <row r="499" spans="9:9" ht="15.75">
      <c r="I499" s="62"/>
    </row>
    <row r="500" spans="9:9" ht="15.75">
      <c r="I500" s="62"/>
    </row>
    <row r="501" spans="9:9" ht="15.75">
      <c r="I501" s="62"/>
    </row>
    <row r="502" spans="9:9" ht="15.75">
      <c r="I502" s="62"/>
    </row>
    <row r="503" spans="9:9" ht="15.75">
      <c r="I503" s="62"/>
    </row>
    <row r="504" spans="9:9" ht="15.75">
      <c r="I504" s="62"/>
    </row>
    <row r="505" spans="9:9" ht="15.75">
      <c r="I505" s="62"/>
    </row>
    <row r="506" spans="9:9" ht="15.75">
      <c r="I506" s="62"/>
    </row>
    <row r="507" spans="9:9" ht="15.75">
      <c r="I507" s="62"/>
    </row>
    <row r="508" spans="9:9" ht="15.75">
      <c r="I508" s="62"/>
    </row>
    <row r="509" spans="9:9" ht="15.75">
      <c r="I509" s="62"/>
    </row>
    <row r="510" spans="9:9" ht="15.75">
      <c r="I510" s="62"/>
    </row>
    <row r="511" spans="9:9" ht="15.75">
      <c r="I511" s="62"/>
    </row>
    <row r="512" spans="9:9" ht="15.75">
      <c r="I512" s="62"/>
    </row>
    <row r="513" spans="9:9" ht="15.75">
      <c r="I513" s="62"/>
    </row>
    <row r="514" spans="9:9" ht="15.75">
      <c r="I514" s="62"/>
    </row>
    <row r="515" spans="9:9" ht="15.75">
      <c r="I515" s="62"/>
    </row>
    <row r="516" spans="9:9" ht="15.75">
      <c r="I516" s="62"/>
    </row>
    <row r="517" spans="9:9" ht="15.75">
      <c r="I517" s="62"/>
    </row>
    <row r="518" spans="9:9" ht="15.75">
      <c r="I518" s="62"/>
    </row>
    <row r="519" spans="9:9" ht="15.75">
      <c r="I519" s="62"/>
    </row>
    <row r="520" spans="9:9" ht="15.75">
      <c r="I520" s="62"/>
    </row>
    <row r="521" spans="9:9" ht="15.75">
      <c r="I521" s="62"/>
    </row>
    <row r="522" spans="9:9" ht="15.75">
      <c r="I522" s="62"/>
    </row>
    <row r="523" spans="9:9" ht="15.75">
      <c r="I523" s="62"/>
    </row>
    <row r="524" spans="9:9" ht="15.75">
      <c r="I524" s="62"/>
    </row>
    <row r="525" spans="9:9" ht="15.75">
      <c r="I525" s="62"/>
    </row>
    <row r="526" spans="9:9" ht="15.75">
      <c r="I526" s="62"/>
    </row>
    <row r="527" spans="9:9" ht="15.75">
      <c r="I527" s="62"/>
    </row>
    <row r="528" spans="9:9" ht="15.75">
      <c r="I528" s="62"/>
    </row>
    <row r="529" spans="9:9" ht="15.75">
      <c r="I529" s="62"/>
    </row>
    <row r="530" spans="9:9" ht="15.75">
      <c r="I530" s="62"/>
    </row>
    <row r="531" spans="9:9" ht="15.75">
      <c r="I531" s="62"/>
    </row>
    <row r="532" spans="9:9" ht="15.75">
      <c r="I532" s="62"/>
    </row>
    <row r="533" spans="9:9" ht="15.75">
      <c r="I533" s="62"/>
    </row>
    <row r="534" spans="9:9" ht="15.75">
      <c r="I534" s="62"/>
    </row>
    <row r="535" spans="9:9" ht="15.75">
      <c r="I535" s="62"/>
    </row>
    <row r="536" spans="9:9" ht="15.75">
      <c r="I536" s="62"/>
    </row>
    <row r="537" spans="9:9" ht="15.75">
      <c r="I537" s="62"/>
    </row>
    <row r="538" spans="9:9" ht="15.75">
      <c r="I538" s="62"/>
    </row>
    <row r="539" spans="9:9" ht="15.75">
      <c r="I539" s="62"/>
    </row>
    <row r="540" spans="9:9" ht="15.75">
      <c r="I540" s="62"/>
    </row>
    <row r="541" spans="9:9" ht="15.75">
      <c r="I541" s="62"/>
    </row>
    <row r="542" spans="9:9" ht="15.75">
      <c r="I542" s="62"/>
    </row>
    <row r="543" spans="9:9" ht="15.75">
      <c r="I543" s="62"/>
    </row>
    <row r="544" spans="9:9" ht="15.75">
      <c r="I544" s="62"/>
    </row>
    <row r="545" spans="9:9" ht="15.75">
      <c r="I545" s="62"/>
    </row>
    <row r="546" spans="9:9" ht="15.75">
      <c r="I546" s="62"/>
    </row>
    <row r="547" spans="9:9" ht="15.75">
      <c r="I547" s="62"/>
    </row>
    <row r="548" spans="9:9" ht="15.75">
      <c r="I548" s="62"/>
    </row>
    <row r="549" spans="9:9" ht="15.75">
      <c r="I549" s="62"/>
    </row>
    <row r="550" spans="9:9" ht="15.75">
      <c r="I550" s="62"/>
    </row>
    <row r="551" spans="9:9" ht="15.75">
      <c r="I551" s="62"/>
    </row>
    <row r="552" spans="9:9" ht="15.75">
      <c r="I552" s="62"/>
    </row>
    <row r="553" spans="9:9" ht="15.75">
      <c r="I553" s="62"/>
    </row>
    <row r="554" spans="9:9" ht="15.75">
      <c r="I554" s="62"/>
    </row>
    <row r="555" spans="9:9" ht="15.75">
      <c r="I555" s="62"/>
    </row>
    <row r="556" spans="9:9" ht="15.75">
      <c r="I556" s="62"/>
    </row>
    <row r="557" spans="9:9" ht="15.75">
      <c r="I557" s="62"/>
    </row>
    <row r="558" spans="9:9" ht="15.75">
      <c r="I558" s="62"/>
    </row>
    <row r="559" spans="9:9" ht="15.75">
      <c r="I559" s="62"/>
    </row>
    <row r="560" spans="9:9" ht="15.75">
      <c r="I560" s="62"/>
    </row>
    <row r="561" spans="9:9" ht="15.75">
      <c r="I561" s="62"/>
    </row>
    <row r="562" spans="9:9" ht="15.75">
      <c r="I562" s="62"/>
    </row>
    <row r="563" spans="9:9" ht="15.75">
      <c r="I563" s="62"/>
    </row>
    <row r="564" spans="9:9" ht="15.75">
      <c r="I564" s="62"/>
    </row>
    <row r="565" spans="9:9" ht="15.75">
      <c r="I565" s="62"/>
    </row>
    <row r="566" spans="9:9" ht="15.75">
      <c r="I566" s="62"/>
    </row>
    <row r="567" spans="9:9" ht="15.75">
      <c r="I567" s="62"/>
    </row>
    <row r="568" spans="9:9" ht="15.75">
      <c r="I568" s="62"/>
    </row>
    <row r="569" spans="9:9" ht="15.75">
      <c r="I569" s="62"/>
    </row>
    <row r="570" spans="9:9" ht="15.75">
      <c r="I570" s="62"/>
    </row>
    <row r="571" spans="9:9" ht="15.75">
      <c r="I571" s="62"/>
    </row>
    <row r="572" spans="9:9" ht="15.75">
      <c r="I572" s="62"/>
    </row>
    <row r="573" spans="9:9" ht="15.75">
      <c r="I573" s="62"/>
    </row>
    <row r="574" spans="9:9" ht="15.75">
      <c r="I574" s="62"/>
    </row>
    <row r="575" spans="9:9" ht="15.75">
      <c r="I575" s="62"/>
    </row>
    <row r="576" spans="9:9" ht="15.75">
      <c r="I576" s="62"/>
    </row>
    <row r="577" spans="9:9" ht="15.75">
      <c r="I577" s="62"/>
    </row>
    <row r="578" spans="9:9" ht="15.75">
      <c r="I578" s="62"/>
    </row>
    <row r="579" spans="9:9" ht="15.75">
      <c r="I579" s="62"/>
    </row>
    <row r="580" spans="9:9" ht="15.75">
      <c r="I580" s="62"/>
    </row>
    <row r="581" spans="9:9" ht="15.75">
      <c r="I581" s="62"/>
    </row>
    <row r="582" spans="9:9" ht="15.75">
      <c r="I582" s="62"/>
    </row>
    <row r="583" spans="9:9" ht="15.75">
      <c r="I583" s="62"/>
    </row>
    <row r="584" spans="9:9" ht="15.75">
      <c r="I584" s="62"/>
    </row>
    <row r="585" spans="9:9" ht="15.75">
      <c r="I585" s="62"/>
    </row>
    <row r="586" spans="9:9" ht="15.75">
      <c r="I586" s="62"/>
    </row>
    <row r="587" spans="9:9" ht="15.75">
      <c r="I587" s="62"/>
    </row>
    <row r="588" spans="9:9" ht="15.75">
      <c r="I588" s="62"/>
    </row>
    <row r="589" spans="9:9" ht="15.75">
      <c r="I589" s="62"/>
    </row>
    <row r="590" spans="9:9" ht="15.75">
      <c r="I590" s="62"/>
    </row>
    <row r="591" spans="9:9" ht="15.75">
      <c r="I591" s="62"/>
    </row>
    <row r="592" spans="9:9" ht="15.75">
      <c r="I592" s="62"/>
    </row>
    <row r="593" spans="9:9" ht="15.75">
      <c r="I593" s="62"/>
    </row>
    <row r="594" spans="9:9" ht="15.75">
      <c r="I594" s="62"/>
    </row>
    <row r="595" spans="9:9" ht="15.75">
      <c r="I595" s="62"/>
    </row>
    <row r="596" spans="9:9" ht="15.75">
      <c r="I596" s="62"/>
    </row>
    <row r="597" spans="9:9" ht="15.75">
      <c r="I597" s="62"/>
    </row>
    <row r="598" spans="9:9" ht="15.75">
      <c r="I598" s="62"/>
    </row>
    <row r="599" spans="9:9" ht="15.75">
      <c r="I599" s="62"/>
    </row>
    <row r="600" spans="9:9" ht="15.75">
      <c r="I600" s="62"/>
    </row>
    <row r="601" spans="9:9" ht="15.75">
      <c r="I601" s="62"/>
    </row>
    <row r="602" spans="9:9" ht="15.75">
      <c r="I602" s="62"/>
    </row>
    <row r="603" spans="9:9" ht="15.75">
      <c r="I603" s="62"/>
    </row>
    <row r="604" spans="9:9" ht="15.75">
      <c r="I604" s="62"/>
    </row>
    <row r="605" spans="9:9" ht="15.75">
      <c r="I605" s="62"/>
    </row>
    <row r="606" spans="9:9" ht="15.75">
      <c r="I606" s="62"/>
    </row>
    <row r="607" spans="9:9" ht="15.75">
      <c r="I607" s="62"/>
    </row>
    <row r="608" spans="9:9" ht="15.75">
      <c r="I608" s="62"/>
    </row>
    <row r="609" spans="9:9" ht="15.75">
      <c r="I609" s="62"/>
    </row>
    <row r="610" spans="9:9" ht="15.75">
      <c r="I610" s="62"/>
    </row>
    <row r="611" spans="9:9" ht="15.75">
      <c r="I611" s="62"/>
    </row>
    <row r="612" spans="9:9" ht="15.75">
      <c r="I612" s="62"/>
    </row>
    <row r="613" spans="9:9" ht="15.75">
      <c r="I613" s="62"/>
    </row>
    <row r="614" spans="9:9" ht="15.75">
      <c r="I614" s="62"/>
    </row>
    <row r="615" spans="9:9" ht="15.75">
      <c r="I615" s="62"/>
    </row>
    <row r="616" spans="9:9" ht="15.75">
      <c r="I616" s="62"/>
    </row>
    <row r="617" spans="9:9" ht="15.75">
      <c r="I617" s="62"/>
    </row>
    <row r="618" spans="9:9" ht="15.75">
      <c r="I618" s="62"/>
    </row>
    <row r="619" spans="9:9" ht="15.75">
      <c r="I619" s="62"/>
    </row>
    <row r="620" spans="9:9" ht="15.75">
      <c r="I620" s="62"/>
    </row>
    <row r="621" spans="9:9" ht="15.75">
      <c r="I621" s="62"/>
    </row>
    <row r="622" spans="9:9" ht="15.75">
      <c r="I622" s="62"/>
    </row>
    <row r="623" spans="9:9" ht="15.75">
      <c r="I623" s="62"/>
    </row>
    <row r="624" spans="9:9" ht="15.75">
      <c r="I624" s="62"/>
    </row>
    <row r="625" spans="9:9" ht="15.75">
      <c r="I625" s="62"/>
    </row>
    <row r="626" spans="9:9" ht="15.75">
      <c r="I626" s="62"/>
    </row>
    <row r="627" spans="9:9" ht="15.75">
      <c r="I627" s="62"/>
    </row>
    <row r="628" spans="9:9" ht="15.75">
      <c r="I628" s="62"/>
    </row>
    <row r="629" spans="9:9" ht="15.75">
      <c r="I629" s="62"/>
    </row>
    <row r="630" spans="9:9" ht="15.75">
      <c r="I630" s="62"/>
    </row>
    <row r="631" spans="9:9" ht="15.75">
      <c r="I631" s="62"/>
    </row>
    <row r="632" spans="9:9" ht="15.75">
      <c r="I632" s="62"/>
    </row>
    <row r="633" spans="9:9" ht="15.75">
      <c r="I633" s="62"/>
    </row>
    <row r="634" spans="9:9" ht="15.75">
      <c r="I634" s="62"/>
    </row>
    <row r="635" spans="9:9" ht="15.75">
      <c r="I635" s="62"/>
    </row>
    <row r="636" spans="9:9" ht="15.75">
      <c r="I636" s="62"/>
    </row>
    <row r="637" spans="9:9" ht="15.75">
      <c r="I637" s="62"/>
    </row>
    <row r="638" spans="9:9" ht="15.75">
      <c r="I638" s="62"/>
    </row>
    <row r="639" spans="9:9" ht="15.75">
      <c r="I639" s="62"/>
    </row>
    <row r="640" spans="9:9" ht="15.75">
      <c r="I640" s="62"/>
    </row>
    <row r="641" spans="9:9" ht="15.75">
      <c r="I641" s="62"/>
    </row>
    <row r="642" spans="9:9" ht="15.75">
      <c r="I642" s="62"/>
    </row>
    <row r="643" spans="9:9" ht="15.75">
      <c r="I643" s="62"/>
    </row>
    <row r="644" spans="9:9" ht="15.75">
      <c r="I644" s="62"/>
    </row>
    <row r="645" spans="9:9" ht="15.75">
      <c r="I645" s="62"/>
    </row>
    <row r="646" spans="9:9" ht="15.75">
      <c r="I646" s="62"/>
    </row>
    <row r="647" spans="9:9" ht="15.75">
      <c r="I647" s="62"/>
    </row>
    <row r="648" spans="9:9" ht="15.75">
      <c r="I648" s="62"/>
    </row>
    <row r="649" spans="9:9" ht="15.75">
      <c r="I649" s="62"/>
    </row>
    <row r="650" spans="9:9" ht="15.75">
      <c r="I650" s="62"/>
    </row>
    <row r="651" spans="9:9" ht="15.75">
      <c r="I651" s="62"/>
    </row>
    <row r="652" spans="9:9" ht="15.75">
      <c r="I652" s="62"/>
    </row>
    <row r="653" spans="9:9" ht="15.75">
      <c r="I653" s="62"/>
    </row>
    <row r="654" spans="9:9" ht="15.75">
      <c r="I654" s="62"/>
    </row>
    <row r="655" spans="9:9" ht="15.75">
      <c r="I655" s="62"/>
    </row>
    <row r="656" spans="9:9" ht="15.75">
      <c r="I656" s="62"/>
    </row>
    <row r="657" spans="9:9" ht="15.75">
      <c r="I657" s="62"/>
    </row>
    <row r="658" spans="9:9" ht="15.75">
      <c r="I658" s="62"/>
    </row>
    <row r="659" spans="9:9" ht="15.75">
      <c r="I659" s="62"/>
    </row>
    <row r="660" spans="9:9" ht="15.75">
      <c r="I660" s="62"/>
    </row>
    <row r="661" spans="9:9" ht="15.75">
      <c r="I661" s="62"/>
    </row>
    <row r="662" spans="9:9" ht="15.75">
      <c r="I662" s="62"/>
    </row>
    <row r="663" spans="9:9" ht="15.75">
      <c r="I663" s="62"/>
    </row>
    <row r="664" spans="9:9" ht="15.75">
      <c r="I664" s="62"/>
    </row>
    <row r="665" spans="9:9" ht="15.75">
      <c r="I665" s="62"/>
    </row>
    <row r="666" spans="9:9" ht="15.75">
      <c r="I666" s="62"/>
    </row>
    <row r="667" spans="9:9" ht="15.75">
      <c r="I667" s="62"/>
    </row>
    <row r="668" spans="9:9" ht="15.75">
      <c r="I668" s="62"/>
    </row>
    <row r="669" spans="9:9" ht="15.75">
      <c r="I669" s="62"/>
    </row>
    <row r="670" spans="9:9" ht="15.75">
      <c r="I670" s="62"/>
    </row>
    <row r="671" spans="9:9" ht="15.75">
      <c r="I671" s="62"/>
    </row>
    <row r="672" spans="9:9" ht="15.75">
      <c r="I672" s="62"/>
    </row>
    <row r="673" spans="9:9" ht="15.75">
      <c r="I673" s="62"/>
    </row>
    <row r="674" spans="9:9" ht="15.75">
      <c r="I674" s="62"/>
    </row>
    <row r="675" spans="9:9" ht="15.75">
      <c r="I675" s="62"/>
    </row>
    <row r="676" spans="9:9" ht="15.75">
      <c r="I676" s="62"/>
    </row>
    <row r="677" spans="9:9" ht="15.75">
      <c r="I677" s="62"/>
    </row>
    <row r="678" spans="9:9" ht="15.75">
      <c r="I678" s="62"/>
    </row>
    <row r="679" spans="9:9" ht="15.75">
      <c r="I679" s="62"/>
    </row>
    <row r="680" spans="9:9" ht="15.75">
      <c r="I680" s="62"/>
    </row>
    <row r="681" spans="9:9" ht="15.75">
      <c r="I681" s="62"/>
    </row>
    <row r="682" spans="9:9" ht="15.75">
      <c r="I682" s="62"/>
    </row>
    <row r="683" spans="9:9" ht="15.75">
      <c r="I683" s="62"/>
    </row>
    <row r="684" spans="9:9" ht="15.75">
      <c r="I684" s="62"/>
    </row>
    <row r="685" spans="9:9" ht="15.75">
      <c r="I685" s="62"/>
    </row>
    <row r="686" spans="9:9" ht="15.75">
      <c r="I686" s="62"/>
    </row>
    <row r="687" spans="9:9" ht="15.75">
      <c r="I687" s="62"/>
    </row>
    <row r="688" spans="9:9" ht="15.75">
      <c r="I688" s="62"/>
    </row>
    <row r="689" spans="9:9" ht="15.75">
      <c r="I689" s="62"/>
    </row>
    <row r="690" spans="9:9" ht="15.75">
      <c r="I690" s="62"/>
    </row>
    <row r="691" spans="9:9" ht="15.75">
      <c r="I691" s="62"/>
    </row>
    <row r="692" spans="9:9" ht="15.75">
      <c r="I692" s="62"/>
    </row>
    <row r="693" spans="9:9" ht="15.75">
      <c r="I693" s="62"/>
    </row>
    <row r="694" spans="9:9" ht="15.75">
      <c r="I694" s="62"/>
    </row>
    <row r="695" spans="9:9" ht="15.75">
      <c r="I695" s="62"/>
    </row>
    <row r="696" spans="9:9" ht="15.75">
      <c r="I696" s="62"/>
    </row>
    <row r="697" spans="9:9" ht="15.75">
      <c r="I697" s="62"/>
    </row>
    <row r="698" spans="9:9" ht="15.75">
      <c r="I698" s="62"/>
    </row>
    <row r="699" spans="9:9" ht="15.75">
      <c r="I699" s="62"/>
    </row>
    <row r="700" spans="9:9" ht="15.75">
      <c r="I700" s="62"/>
    </row>
    <row r="701" spans="9:9" ht="15.75">
      <c r="I701" s="62"/>
    </row>
    <row r="702" spans="9:9" ht="15.75">
      <c r="I702" s="62"/>
    </row>
    <row r="703" spans="9:9" ht="15.75">
      <c r="I703" s="62"/>
    </row>
    <row r="704" spans="9:9" ht="15.75">
      <c r="I704" s="62"/>
    </row>
    <row r="705" spans="9:9" ht="15.75">
      <c r="I705" s="62"/>
    </row>
    <row r="706" spans="9:9" ht="15.75">
      <c r="I706" s="62"/>
    </row>
    <row r="707" spans="9:9" ht="15.75">
      <c r="I707" s="62"/>
    </row>
    <row r="708" spans="9:9" ht="15.75">
      <c r="I708" s="62"/>
    </row>
    <row r="709" spans="9:9" ht="15.75">
      <c r="I709" s="62"/>
    </row>
    <row r="710" spans="9:9" ht="15.75">
      <c r="I710" s="62"/>
    </row>
    <row r="711" spans="9:9" ht="15.75">
      <c r="I711" s="62"/>
    </row>
    <row r="712" spans="9:9" ht="15.75">
      <c r="I712" s="62"/>
    </row>
    <row r="713" spans="9:9" ht="15.75">
      <c r="I713" s="62"/>
    </row>
    <row r="714" spans="9:9" ht="15.75">
      <c r="I714" s="62"/>
    </row>
    <row r="715" spans="9:9" ht="15.75">
      <c r="I715" s="62"/>
    </row>
    <row r="716" spans="9:9" ht="15.75">
      <c r="I716" s="62"/>
    </row>
    <row r="717" spans="9:9" ht="15.75">
      <c r="I717" s="62"/>
    </row>
    <row r="718" spans="9:9" ht="15.75">
      <c r="I718" s="62"/>
    </row>
    <row r="719" spans="9:9" ht="15.75">
      <c r="I719" s="62"/>
    </row>
    <row r="720" spans="9:9" ht="15.75">
      <c r="I720" s="62"/>
    </row>
    <row r="721" spans="9:9" ht="15.75">
      <c r="I721" s="62"/>
    </row>
    <row r="722" spans="9:9" ht="15.75">
      <c r="I722" s="62"/>
    </row>
    <row r="723" spans="9:9" ht="15.75">
      <c r="I723" s="62"/>
    </row>
    <row r="724" spans="9:9" ht="15.75">
      <c r="I724" s="62"/>
    </row>
    <row r="725" spans="9:9" ht="15.75">
      <c r="I725" s="62"/>
    </row>
    <row r="726" spans="9:9" ht="15.75">
      <c r="I726" s="62"/>
    </row>
    <row r="727" spans="9:9" ht="15.75">
      <c r="I727" s="62"/>
    </row>
    <row r="728" spans="9:9" ht="15.75">
      <c r="I728" s="62"/>
    </row>
    <row r="729" spans="9:9" ht="15.75">
      <c r="I729" s="62"/>
    </row>
    <row r="730" spans="9:9" ht="15.75">
      <c r="I730" s="62"/>
    </row>
    <row r="731" spans="9:9" ht="15.75">
      <c r="I731" s="62"/>
    </row>
    <row r="732" spans="9:9" ht="15.75">
      <c r="I732" s="62"/>
    </row>
    <row r="733" spans="9:9" ht="15.75">
      <c r="I733" s="62"/>
    </row>
    <row r="734" spans="9:9" ht="15.75">
      <c r="I734" s="62"/>
    </row>
    <row r="735" spans="9:9" ht="15.75">
      <c r="I735" s="62"/>
    </row>
    <row r="736" spans="9:9" ht="15.75">
      <c r="I736" s="62"/>
    </row>
    <row r="737" spans="9:9" ht="15.75">
      <c r="I737" s="62"/>
    </row>
    <row r="738" spans="9:9" ht="15.75">
      <c r="I738" s="62"/>
    </row>
    <row r="739" spans="9:9" ht="15.75">
      <c r="I739" s="62"/>
    </row>
    <row r="740" spans="9:9" ht="15.75">
      <c r="I740" s="62"/>
    </row>
    <row r="741" spans="9:9" ht="15.75">
      <c r="I741" s="62"/>
    </row>
    <row r="742" spans="9:9" ht="15.75">
      <c r="I742" s="62"/>
    </row>
    <row r="743" spans="9:9" ht="15.75">
      <c r="I743" s="62"/>
    </row>
    <row r="744" spans="9:9" ht="15.75">
      <c r="I744" s="62"/>
    </row>
    <row r="745" spans="9:9" ht="15.75">
      <c r="I745" s="62"/>
    </row>
    <row r="746" spans="9:9" ht="15.75">
      <c r="I746" s="62"/>
    </row>
    <row r="747" spans="9:9" ht="15.75">
      <c r="I747" s="62"/>
    </row>
    <row r="748" spans="9:9" ht="15.75">
      <c r="I748" s="62"/>
    </row>
    <row r="749" spans="9:9" ht="15.75">
      <c r="I749" s="62"/>
    </row>
    <row r="750" spans="9:9" ht="15.75">
      <c r="I750" s="62"/>
    </row>
    <row r="751" spans="9:9" ht="15.75">
      <c r="I751" s="62"/>
    </row>
    <row r="752" spans="9:9" ht="15.75">
      <c r="I752" s="62"/>
    </row>
    <row r="753" spans="9:9" ht="15.75">
      <c r="I753" s="62"/>
    </row>
    <row r="754" spans="9:9" ht="15.75">
      <c r="I754" s="62"/>
    </row>
    <row r="755" spans="9:9" ht="15.75">
      <c r="I755" s="62"/>
    </row>
    <row r="756" spans="9:9" ht="15.75">
      <c r="I756" s="62"/>
    </row>
    <row r="757" spans="9:9" ht="15.75">
      <c r="I757" s="62"/>
    </row>
    <row r="758" spans="9:9" ht="15.75">
      <c r="I758" s="62"/>
    </row>
    <row r="759" spans="9:9" ht="15.75">
      <c r="I759" s="62"/>
    </row>
    <row r="760" spans="9:9" ht="15.75">
      <c r="I760" s="62"/>
    </row>
    <row r="761" spans="9:9" ht="15.75">
      <c r="I761" s="62"/>
    </row>
    <row r="762" spans="9:9" ht="15.75">
      <c r="I762" s="62"/>
    </row>
    <row r="763" spans="9:9" ht="15.75">
      <c r="I763" s="62"/>
    </row>
    <row r="764" spans="9:9" ht="15.75">
      <c r="I764" s="62"/>
    </row>
    <row r="765" spans="9:9" ht="15.75">
      <c r="I765" s="62"/>
    </row>
    <row r="766" spans="9:9" ht="15.75">
      <c r="I766" s="62"/>
    </row>
    <row r="767" spans="9:9" ht="15.75">
      <c r="I767" s="62"/>
    </row>
    <row r="768" spans="9:9" ht="15.75">
      <c r="I768" s="62"/>
    </row>
    <row r="769" spans="9:9" ht="15.75">
      <c r="I769" s="62"/>
    </row>
    <row r="770" spans="9:9" ht="15.75">
      <c r="I770" s="62"/>
    </row>
    <row r="771" spans="9:9" ht="15.75">
      <c r="I771" s="62"/>
    </row>
    <row r="772" spans="9:9" ht="15.75">
      <c r="I772" s="62"/>
    </row>
    <row r="773" spans="9:9" ht="15.75">
      <c r="I773" s="62"/>
    </row>
    <row r="774" spans="9:9" ht="15.75">
      <c r="I774" s="62"/>
    </row>
    <row r="775" spans="9:9" ht="15.75">
      <c r="I775" s="62"/>
    </row>
    <row r="776" spans="9:9" ht="15.75">
      <c r="I776" s="62"/>
    </row>
    <row r="777" spans="9:9" ht="15.75">
      <c r="I777" s="62"/>
    </row>
    <row r="778" spans="9:9" ht="15.75">
      <c r="I778" s="62"/>
    </row>
    <row r="779" spans="9:9" ht="15.75">
      <c r="I779" s="62"/>
    </row>
    <row r="780" spans="9:9" ht="15.75">
      <c r="I780" s="62"/>
    </row>
    <row r="781" spans="9:9" ht="15.75">
      <c r="I781" s="62"/>
    </row>
    <row r="782" spans="9:9" ht="15.75">
      <c r="I782" s="62"/>
    </row>
    <row r="783" spans="9:9" ht="15.75">
      <c r="I783" s="62"/>
    </row>
    <row r="784" spans="9:9" ht="15.75">
      <c r="I784" s="62"/>
    </row>
    <row r="785" spans="9:9" ht="15.75">
      <c r="I785" s="62"/>
    </row>
    <row r="786" spans="9:9" ht="15.75">
      <c r="I786" s="62"/>
    </row>
    <row r="787" spans="9:9" ht="15.75">
      <c r="I787" s="62"/>
    </row>
    <row r="788" spans="9:9" ht="15.75">
      <c r="I788" s="62"/>
    </row>
    <row r="789" spans="9:9" ht="15.75">
      <c r="I789" s="62"/>
    </row>
    <row r="790" spans="9:9" ht="15.75">
      <c r="I790" s="62"/>
    </row>
    <row r="791" spans="9:9" ht="15.75">
      <c r="I791" s="62"/>
    </row>
    <row r="792" spans="9:9" ht="15.75">
      <c r="I792" s="62"/>
    </row>
    <row r="793" spans="9:9" ht="15.75">
      <c r="I793" s="62"/>
    </row>
    <row r="794" spans="9:9" ht="15.75">
      <c r="I794" s="62"/>
    </row>
    <row r="795" spans="9:9" ht="15.75">
      <c r="I795" s="62"/>
    </row>
    <row r="796" spans="9:9" ht="15.75">
      <c r="I796" s="62"/>
    </row>
    <row r="797" spans="9:9" ht="15.75">
      <c r="I797" s="62"/>
    </row>
    <row r="798" spans="9:9" ht="15.75">
      <c r="I798" s="62"/>
    </row>
    <row r="799" spans="9:9" ht="15.75">
      <c r="I799" s="62"/>
    </row>
    <row r="800" spans="9:9" ht="15.75">
      <c r="I800" s="62"/>
    </row>
    <row r="801" spans="9:9" ht="15.75">
      <c r="I801" s="62"/>
    </row>
    <row r="802" spans="9:9" ht="15.75">
      <c r="I802" s="62"/>
    </row>
    <row r="803" spans="9:9" ht="15.75">
      <c r="I803" s="62"/>
    </row>
    <row r="804" spans="9:9" ht="15.75">
      <c r="I804" s="62"/>
    </row>
    <row r="805" spans="9:9" ht="15.75">
      <c r="I805" s="62"/>
    </row>
    <row r="806" spans="9:9" ht="15.75">
      <c r="I806" s="62"/>
    </row>
    <row r="807" spans="9:9" ht="15.75">
      <c r="I807" s="62"/>
    </row>
    <row r="808" spans="9:9" ht="15.75">
      <c r="I808" s="62"/>
    </row>
    <row r="809" spans="9:9" ht="15.75">
      <c r="I809" s="62"/>
    </row>
    <row r="810" spans="9:9" ht="15.75">
      <c r="I810" s="62"/>
    </row>
    <row r="811" spans="9:9" ht="15.75">
      <c r="I811" s="62"/>
    </row>
    <row r="812" spans="9:9" ht="15.75">
      <c r="I812" s="62"/>
    </row>
    <row r="813" spans="9:9" ht="15.75">
      <c r="I813" s="62"/>
    </row>
    <row r="814" spans="9:9" ht="15.75">
      <c r="I814" s="62"/>
    </row>
    <row r="815" spans="9:9" ht="15.75">
      <c r="I815" s="62"/>
    </row>
    <row r="816" spans="9:9" ht="15.75">
      <c r="I816" s="62"/>
    </row>
    <row r="817" spans="9:9" ht="15.75">
      <c r="I817" s="62"/>
    </row>
    <row r="818" spans="9:9" ht="15.75">
      <c r="I818" s="62"/>
    </row>
    <row r="819" spans="9:9" ht="15.75">
      <c r="I819" s="62"/>
    </row>
    <row r="820" spans="9:9" ht="15.75">
      <c r="I820" s="62"/>
    </row>
    <row r="821" spans="9:9" ht="15.75">
      <c r="I821" s="62"/>
    </row>
    <row r="822" spans="9:9" ht="15.75">
      <c r="I822" s="62"/>
    </row>
    <row r="823" spans="9:9" ht="15.75">
      <c r="I823" s="62"/>
    </row>
    <row r="824" spans="9:9" ht="15.75">
      <c r="I824" s="62"/>
    </row>
    <row r="825" spans="9:9" ht="15.75">
      <c r="I825" s="62"/>
    </row>
    <row r="826" spans="9:9" ht="15.75">
      <c r="I826" s="62"/>
    </row>
    <row r="827" spans="9:9" ht="15.75">
      <c r="I827" s="62"/>
    </row>
    <row r="828" spans="9:9" ht="15.75">
      <c r="I828" s="62"/>
    </row>
    <row r="829" spans="9:9" ht="15.75">
      <c r="I829" s="62"/>
    </row>
    <row r="830" spans="9:9" ht="15.75">
      <c r="I830" s="62"/>
    </row>
    <row r="831" spans="9:9" ht="15.75">
      <c r="I831" s="62"/>
    </row>
    <row r="832" spans="9:9" ht="15.75">
      <c r="I832" s="62"/>
    </row>
    <row r="833" spans="9:9" ht="15.75">
      <c r="I833" s="62"/>
    </row>
    <row r="834" spans="9:9" ht="15.75">
      <c r="I834" s="62"/>
    </row>
    <row r="835" spans="9:9" ht="15.75">
      <c r="I835" s="62"/>
    </row>
    <row r="836" spans="9:9" ht="15.75">
      <c r="I836" s="62"/>
    </row>
    <row r="837" spans="9:9" ht="15.75">
      <c r="I837" s="62"/>
    </row>
    <row r="838" spans="9:9" ht="15.75">
      <c r="I838" s="62"/>
    </row>
    <row r="839" spans="9:9" ht="15.75">
      <c r="I839" s="62"/>
    </row>
    <row r="840" spans="9:9" ht="15.75">
      <c r="I840" s="62"/>
    </row>
    <row r="841" spans="9:9" ht="15.75">
      <c r="I841" s="62"/>
    </row>
    <row r="842" spans="9:9" ht="15.75">
      <c r="I842" s="62"/>
    </row>
    <row r="843" spans="9:9" ht="15.75">
      <c r="I843" s="62"/>
    </row>
    <row r="844" spans="9:9" ht="15.75">
      <c r="I844" s="62"/>
    </row>
    <row r="845" spans="9:9" ht="15.75">
      <c r="I845" s="62"/>
    </row>
    <row r="846" spans="9:9" ht="15.75">
      <c r="I846" s="62"/>
    </row>
    <row r="847" spans="9:9" ht="15.75">
      <c r="I847" s="62"/>
    </row>
    <row r="848" spans="9:9" ht="15.75">
      <c r="I848" s="62"/>
    </row>
    <row r="849" spans="9:9" ht="15.75">
      <c r="I849" s="62"/>
    </row>
    <row r="850" spans="9:9" ht="15.75">
      <c r="I850" s="62"/>
    </row>
    <row r="851" spans="9:9" ht="15.75">
      <c r="I851" s="62"/>
    </row>
    <row r="852" spans="9:9" ht="15.75">
      <c r="I852" s="62"/>
    </row>
    <row r="853" spans="9:9" ht="15.75">
      <c r="I853" s="62"/>
    </row>
    <row r="854" spans="9:9" ht="15.75">
      <c r="I854" s="62"/>
    </row>
    <row r="855" spans="9:9" ht="15.75">
      <c r="I855" s="62"/>
    </row>
    <row r="856" spans="9:9" ht="15.75">
      <c r="I856" s="62"/>
    </row>
    <row r="857" spans="9:9" ht="15.75">
      <c r="I857" s="62"/>
    </row>
    <row r="858" spans="9:9" ht="15.75">
      <c r="I858" s="62"/>
    </row>
    <row r="859" spans="9:9" ht="15.75">
      <c r="I859" s="62"/>
    </row>
    <row r="860" spans="9:9" ht="15.75">
      <c r="I860" s="62"/>
    </row>
    <row r="861" spans="9:9" ht="15.75">
      <c r="I861" s="62"/>
    </row>
    <row r="862" spans="9:9" ht="15.75">
      <c r="I862" s="62"/>
    </row>
    <row r="863" spans="9:9" ht="15.75">
      <c r="I863" s="62"/>
    </row>
    <row r="864" spans="9:9" ht="15.75">
      <c r="I864" s="62"/>
    </row>
    <row r="865" spans="9:9" ht="15.75">
      <c r="I865" s="62"/>
    </row>
    <row r="866" spans="9:9" ht="15.75">
      <c r="I866" s="62"/>
    </row>
    <row r="867" spans="9:9" ht="15.75">
      <c r="I867" s="62"/>
    </row>
    <row r="868" spans="9:9" ht="15.75">
      <c r="I868" s="62"/>
    </row>
    <row r="869" spans="9:9" ht="15.75">
      <c r="I869" s="62"/>
    </row>
    <row r="870" spans="9:9" ht="15.75">
      <c r="I870" s="62"/>
    </row>
    <row r="871" spans="9:9" ht="15.75">
      <c r="I871" s="62"/>
    </row>
    <row r="872" spans="9:9" ht="15.75">
      <c r="I872" s="62"/>
    </row>
    <row r="873" spans="9:9" ht="15.75">
      <c r="I873" s="62"/>
    </row>
    <row r="874" spans="9:9" ht="15.75">
      <c r="I874" s="62"/>
    </row>
    <row r="875" spans="9:9" ht="15.75">
      <c r="I875" s="62"/>
    </row>
    <row r="876" spans="9:9" ht="15.75">
      <c r="I876" s="62"/>
    </row>
    <row r="877" spans="9:9" ht="15.75">
      <c r="I877" s="62"/>
    </row>
    <row r="878" spans="9:9" ht="15.75">
      <c r="I878" s="62"/>
    </row>
    <row r="879" spans="9:9" ht="15.75">
      <c r="I879" s="62"/>
    </row>
    <row r="880" spans="9:9" ht="15.75">
      <c r="I880" s="62"/>
    </row>
    <row r="881" spans="9:9" ht="15.75">
      <c r="I881" s="62"/>
    </row>
    <row r="882" spans="9:9" ht="15.75">
      <c r="I882" s="62"/>
    </row>
    <row r="883" spans="9:9" ht="15.75">
      <c r="I883" s="62"/>
    </row>
    <row r="884" spans="9:9" ht="15.75">
      <c r="I884" s="62"/>
    </row>
    <row r="885" spans="9:9" ht="15.75">
      <c r="I885" s="62"/>
    </row>
    <row r="886" spans="9:9" ht="15.75">
      <c r="I886" s="62"/>
    </row>
    <row r="887" spans="9:9" ht="15.75">
      <c r="I887" s="62"/>
    </row>
    <row r="888" spans="9:9" ht="15.75">
      <c r="I888" s="62"/>
    </row>
    <row r="889" spans="9:9" ht="15.75">
      <c r="I889" s="62"/>
    </row>
    <row r="890" spans="9:9" ht="15.75">
      <c r="I890" s="62"/>
    </row>
    <row r="891" spans="9:9" ht="15.75">
      <c r="I891" s="62"/>
    </row>
    <row r="892" spans="9:9" ht="15.75">
      <c r="I892" s="62"/>
    </row>
    <row r="893" spans="9:9" ht="15.75">
      <c r="I893" s="62"/>
    </row>
    <row r="894" spans="9:9" ht="15.75">
      <c r="I894" s="62"/>
    </row>
    <row r="895" spans="9:9" ht="15.75">
      <c r="I895" s="62"/>
    </row>
    <row r="896" spans="9:9" ht="15.75">
      <c r="I896" s="62"/>
    </row>
    <row r="897" spans="9:9" ht="15.75">
      <c r="I897" s="62"/>
    </row>
    <row r="898" spans="9:9" ht="15.75">
      <c r="I898" s="62"/>
    </row>
    <row r="899" spans="9:9" ht="15.75">
      <c r="I899" s="62"/>
    </row>
    <row r="900" spans="9:9" ht="15.75">
      <c r="I900" s="62"/>
    </row>
    <row r="901" spans="9:9" ht="15.75">
      <c r="I901" s="62"/>
    </row>
    <row r="902" spans="9:9" ht="15.75">
      <c r="I902" s="62"/>
    </row>
    <row r="903" spans="9:9" ht="15.75">
      <c r="I903" s="62"/>
    </row>
    <row r="904" spans="9:9" ht="15.75">
      <c r="I904" s="62"/>
    </row>
    <row r="905" spans="9:9" ht="15.75">
      <c r="I905" s="62"/>
    </row>
    <row r="906" spans="9:9" ht="15.75">
      <c r="I906" s="62"/>
    </row>
    <row r="907" spans="9:9" ht="15.75">
      <c r="I907" s="62"/>
    </row>
    <row r="908" spans="9:9" ht="15.75">
      <c r="I908" s="62"/>
    </row>
    <row r="909" spans="9:9" ht="15.75">
      <c r="I909" s="62"/>
    </row>
    <row r="910" spans="9:9" ht="15.75">
      <c r="I910" s="62"/>
    </row>
    <row r="911" spans="9:9" ht="15.75">
      <c r="I911" s="62"/>
    </row>
    <row r="912" spans="9:9" ht="15.75">
      <c r="I912" s="62"/>
    </row>
    <row r="913" spans="9:9" ht="15.75">
      <c r="I913" s="62"/>
    </row>
    <row r="914" spans="9:9" ht="15.75">
      <c r="I914" s="62"/>
    </row>
    <row r="915" spans="9:9" ht="15.75">
      <c r="I915" s="62"/>
    </row>
    <row r="916" spans="9:9" ht="15.75">
      <c r="I916" s="62"/>
    </row>
    <row r="917" spans="9:9" ht="15.75">
      <c r="I917" s="62"/>
    </row>
    <row r="918" spans="9:9" ht="15.75">
      <c r="I918" s="62"/>
    </row>
    <row r="919" spans="9:9" ht="15.75">
      <c r="I919" s="62"/>
    </row>
    <row r="920" spans="9:9" ht="15.75">
      <c r="I920" s="62"/>
    </row>
    <row r="921" spans="9:9" ht="15.75">
      <c r="I921" s="62"/>
    </row>
    <row r="922" spans="9:9" ht="15.75">
      <c r="I922" s="62"/>
    </row>
    <row r="923" spans="9:9" ht="15.75">
      <c r="I923" s="62"/>
    </row>
    <row r="924" spans="9:9" ht="15.75">
      <c r="I924" s="62"/>
    </row>
    <row r="925" spans="9:9" ht="15.75">
      <c r="I925" s="62"/>
    </row>
    <row r="926" spans="9:9" ht="15.75">
      <c r="I926" s="62"/>
    </row>
    <row r="927" spans="9:9" ht="15.75">
      <c r="I927" s="62"/>
    </row>
    <row r="928" spans="9:9" ht="15.75">
      <c r="I928" s="62"/>
    </row>
    <row r="929" spans="9:9" ht="15.75">
      <c r="I929" s="62"/>
    </row>
    <row r="930" spans="9:9" ht="15.75">
      <c r="I930" s="62"/>
    </row>
    <row r="931" spans="9:9" ht="15.75">
      <c r="I931" s="62"/>
    </row>
    <row r="932" spans="9:9" ht="15.75">
      <c r="I932" s="62"/>
    </row>
    <row r="933" spans="9:9" ht="15.75">
      <c r="I933" s="62"/>
    </row>
    <row r="934" spans="9:9" ht="15.75">
      <c r="I934" s="62"/>
    </row>
    <row r="935" spans="9:9" ht="15.75">
      <c r="I935" s="62"/>
    </row>
    <row r="936" spans="9:9" ht="15.75">
      <c r="I936" s="62"/>
    </row>
    <row r="937" spans="9:9" ht="15.75">
      <c r="I937" s="62"/>
    </row>
    <row r="938" spans="9:9" ht="15.75">
      <c r="I938" s="62"/>
    </row>
    <row r="939" spans="9:9" ht="15.75">
      <c r="I939" s="62"/>
    </row>
    <row r="940" spans="9:9" ht="15.75">
      <c r="I940" s="62"/>
    </row>
    <row r="941" spans="9:9" ht="15.75">
      <c r="I941" s="62"/>
    </row>
    <row r="942" spans="9:9" ht="15.75">
      <c r="I942" s="62"/>
    </row>
    <row r="943" spans="9:9" ht="15.75">
      <c r="I943" s="62"/>
    </row>
    <row r="944" spans="9:9" ht="15.75">
      <c r="I944" s="62"/>
    </row>
    <row r="945" spans="9:9" ht="15.75">
      <c r="I945" s="62"/>
    </row>
    <row r="946" spans="9:9" ht="15.75">
      <c r="I946" s="62"/>
    </row>
    <row r="947" spans="9:9" ht="15.75">
      <c r="I947" s="62"/>
    </row>
    <row r="948" spans="9:9" ht="15.75">
      <c r="I948" s="62"/>
    </row>
    <row r="949" spans="9:9" ht="15.75">
      <c r="I949" s="62"/>
    </row>
    <row r="950" spans="9:9" ht="15.75">
      <c r="I950" s="62"/>
    </row>
    <row r="951" spans="9:9" ht="15.75">
      <c r="I951" s="62"/>
    </row>
    <row r="952" spans="9:9" ht="15.75">
      <c r="I952" s="62"/>
    </row>
    <row r="953" spans="9:9" ht="15.75">
      <c r="I953" s="62"/>
    </row>
    <row r="954" spans="9:9" ht="15.75">
      <c r="I954" s="62"/>
    </row>
    <row r="955" spans="9:9" ht="15.75">
      <c r="I955" s="62"/>
    </row>
    <row r="956" spans="9:9" ht="15.75">
      <c r="I956" s="62"/>
    </row>
    <row r="957" spans="9:9" ht="15.75">
      <c r="I957" s="62"/>
    </row>
    <row r="958" spans="9:9" ht="15.75">
      <c r="I958" s="62"/>
    </row>
    <row r="959" spans="9:9" ht="15.75">
      <c r="I959" s="62"/>
    </row>
    <row r="960" spans="9:9" ht="15.75">
      <c r="I960" s="62"/>
    </row>
    <row r="961" spans="9:9" ht="15.75">
      <c r="I961" s="62"/>
    </row>
    <row r="962" spans="9:9" ht="15.75">
      <c r="I962" s="62"/>
    </row>
    <row r="963" spans="9:9" ht="15.75">
      <c r="I963" s="62"/>
    </row>
    <row r="964" spans="9:9" ht="15.75">
      <c r="I964" s="62"/>
    </row>
    <row r="965" spans="9:9" ht="15.75">
      <c r="I965" s="62"/>
    </row>
    <row r="966" spans="9:9" ht="15.75">
      <c r="I966" s="62"/>
    </row>
    <row r="967" spans="9:9" ht="15.75">
      <c r="I967" s="62"/>
    </row>
    <row r="968" spans="9:9" ht="15.75">
      <c r="I968" s="62"/>
    </row>
    <row r="969" spans="9:9" ht="15.75">
      <c r="I969" s="62"/>
    </row>
    <row r="970" spans="9:9" ht="15.75">
      <c r="I970" s="62"/>
    </row>
    <row r="971" spans="9:9" ht="15.75">
      <c r="I971" s="62"/>
    </row>
    <row r="972" spans="9:9" ht="15.75">
      <c r="I972" s="62"/>
    </row>
    <row r="973" spans="9:9" ht="15.75">
      <c r="I973" s="62"/>
    </row>
    <row r="974" spans="9:9" ht="15.75">
      <c r="I974" s="62"/>
    </row>
    <row r="975" spans="9:9" ht="15.75">
      <c r="I975" s="62"/>
    </row>
    <row r="976" spans="9:9" ht="15.75">
      <c r="I976" s="62"/>
    </row>
    <row r="977" spans="9:9" ht="15.75">
      <c r="I977" s="62"/>
    </row>
    <row r="978" spans="9:9" ht="15.75">
      <c r="I978" s="62"/>
    </row>
    <row r="979" spans="9:9" ht="15.75">
      <c r="I979" s="62"/>
    </row>
    <row r="980" spans="9:9" ht="15.75">
      <c r="I980" s="62"/>
    </row>
    <row r="981" spans="9:9" ht="15.75">
      <c r="I981" s="62"/>
    </row>
    <row r="982" spans="9:9" ht="15.75">
      <c r="I982" s="62"/>
    </row>
    <row r="983" spans="9:9" ht="15.75">
      <c r="I983" s="62"/>
    </row>
    <row r="984" spans="9:9" ht="15.75">
      <c r="I984" s="62"/>
    </row>
    <row r="985" spans="9:9" ht="15.75">
      <c r="I985" s="62"/>
    </row>
    <row r="986" spans="9:9" ht="15.75">
      <c r="I986" s="62"/>
    </row>
    <row r="987" spans="9:9" ht="15.75">
      <c r="I987" s="62"/>
    </row>
    <row r="988" spans="9:9" ht="15.75">
      <c r="I988" s="62"/>
    </row>
    <row r="989" spans="9:9" ht="15.75">
      <c r="I989" s="62"/>
    </row>
    <row r="990" spans="9:9" ht="15.75">
      <c r="I990" s="62"/>
    </row>
    <row r="991" spans="9:9" ht="15.75">
      <c r="I991" s="62"/>
    </row>
    <row r="992" spans="9:9" ht="15.75">
      <c r="I992" s="62"/>
    </row>
    <row r="993" spans="9:9" ht="15.75">
      <c r="I993" s="62"/>
    </row>
    <row r="994" spans="9:9" ht="15.75">
      <c r="I994" s="62"/>
    </row>
    <row r="995" spans="9:9" ht="15.75">
      <c r="I995" s="62"/>
    </row>
    <row r="996" spans="9:9" ht="15.75">
      <c r="I996" s="62"/>
    </row>
    <row r="997" spans="9:9" ht="15.75">
      <c r="I997" s="62"/>
    </row>
    <row r="998" spans="9:9" ht="15.75">
      <c r="I998" s="62"/>
    </row>
    <row r="999" spans="9:9" ht="15.75">
      <c r="I999" s="62"/>
    </row>
    <row r="1000" spans="9:9" ht="15.75">
      <c r="I1000" s="62"/>
    </row>
  </sheetData>
  <mergeCells count="21">
    <mergeCell ref="K2:K3"/>
    <mergeCell ref="R2:R3"/>
    <mergeCell ref="S2:S3"/>
    <mergeCell ref="U2:U3"/>
    <mergeCell ref="V2:V3"/>
    <mergeCell ref="O2:O3"/>
    <mergeCell ref="P2:P3"/>
    <mergeCell ref="Q2:Q3"/>
    <mergeCell ref="T2:T3"/>
    <mergeCell ref="B2:B3"/>
    <mergeCell ref="C2:C3"/>
    <mergeCell ref="D2:D3"/>
    <mergeCell ref="E2:E3"/>
    <mergeCell ref="F2:F3"/>
    <mergeCell ref="G2:G3"/>
    <mergeCell ref="H2:H3"/>
    <mergeCell ref="J2:J3"/>
    <mergeCell ref="L2:L3"/>
    <mergeCell ref="M2:M3"/>
    <mergeCell ref="N2:N3"/>
    <mergeCell ref="I2:I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" sqref="R1:R1048576"/>
    </sheetView>
  </sheetViews>
  <sheetFormatPr defaultColWidth="11.21875" defaultRowHeight="15" customHeight="1"/>
  <cols>
    <col min="1" max="1" width="4.33203125" customWidth="1"/>
    <col min="2" max="2" width="23.21875" customWidth="1"/>
    <col min="3" max="3" width="13.6640625" customWidth="1"/>
    <col min="4" max="4" width="14.33203125" customWidth="1"/>
    <col min="5" max="5" width="14.6640625" customWidth="1"/>
    <col min="6" max="9" width="13.44140625" customWidth="1"/>
    <col min="10" max="10" width="10.88671875" customWidth="1"/>
    <col min="11" max="11" width="13.44140625" customWidth="1"/>
    <col min="12" max="12" width="14.33203125" customWidth="1"/>
    <col min="13" max="13" width="12.77734375" customWidth="1"/>
    <col min="14" max="16" width="10.88671875" customWidth="1"/>
    <col min="17" max="17" width="19.33203125" customWidth="1"/>
    <col min="18" max="18" width="21.88671875" style="129" bestFit="1" customWidth="1"/>
    <col min="19" max="19" width="12.6640625" customWidth="1"/>
    <col min="20" max="20" width="14.33203125" customWidth="1"/>
    <col min="21" max="21" width="14.109375" customWidth="1"/>
    <col min="22" max="22" width="14.33203125" customWidth="1"/>
    <col min="23" max="26" width="10.88671875" customWidth="1"/>
  </cols>
  <sheetData>
    <row r="1" spans="1:26" ht="15.75" customHeight="1" thickBot="1">
      <c r="A1" s="1"/>
      <c r="B1" s="1"/>
      <c r="C1" s="1" t="s">
        <v>171</v>
      </c>
      <c r="D1" s="1"/>
      <c r="E1" s="1"/>
      <c r="F1" s="24"/>
      <c r="G1" s="1"/>
      <c r="H1" s="1"/>
      <c r="I1" s="1"/>
      <c r="J1" s="25"/>
      <c r="K1" s="1"/>
      <c r="L1" s="1"/>
      <c r="M1" s="1"/>
      <c r="N1" s="25"/>
      <c r="O1" s="25"/>
      <c r="P1" s="24"/>
      <c r="Q1" s="1"/>
      <c r="S1" s="24"/>
      <c r="T1" s="1"/>
      <c r="U1" s="1"/>
      <c r="V1" s="24"/>
      <c r="W1" s="1"/>
      <c r="X1" s="1"/>
      <c r="Y1" s="1"/>
      <c r="Z1" s="1"/>
    </row>
    <row r="2" spans="1:26" ht="16.5" customHeight="1">
      <c r="A2" s="1"/>
      <c r="B2" s="56" t="s">
        <v>172</v>
      </c>
      <c r="C2" s="57" t="s">
        <v>1</v>
      </c>
      <c r="D2" s="57" t="s">
        <v>173</v>
      </c>
      <c r="E2" s="57" t="s">
        <v>3</v>
      </c>
      <c r="F2" s="59" t="s">
        <v>4</v>
      </c>
      <c r="G2" s="26"/>
      <c r="H2" s="26"/>
      <c r="I2" s="26"/>
      <c r="J2" s="60" t="s">
        <v>5</v>
      </c>
      <c r="K2" s="27"/>
      <c r="L2" s="27"/>
      <c r="M2" s="27"/>
      <c r="N2" s="60" t="s">
        <v>6</v>
      </c>
      <c r="O2" s="60" t="s">
        <v>7</v>
      </c>
      <c r="P2" s="58" t="s">
        <v>8</v>
      </c>
      <c r="Q2" s="57" t="s">
        <v>174</v>
      </c>
      <c r="R2" s="141" t="s">
        <v>9</v>
      </c>
      <c r="S2" s="58" t="s">
        <v>11</v>
      </c>
      <c r="T2" s="57" t="s">
        <v>176</v>
      </c>
      <c r="U2" s="57" t="s">
        <v>177</v>
      </c>
      <c r="V2" s="58" t="s">
        <v>14</v>
      </c>
      <c r="W2" s="1"/>
      <c r="X2" s="1"/>
      <c r="Y2" s="1"/>
      <c r="Z2" s="1"/>
    </row>
    <row r="3" spans="1:26" ht="15.75" customHeight="1" thickBot="1">
      <c r="A3" s="1"/>
      <c r="B3" s="55"/>
      <c r="C3" s="55"/>
      <c r="D3" s="55"/>
      <c r="E3" s="55"/>
      <c r="F3" s="55"/>
      <c r="G3" s="28" t="s">
        <v>178</v>
      </c>
      <c r="H3" s="29" t="s">
        <v>179</v>
      </c>
      <c r="I3" s="29" t="s">
        <v>180</v>
      </c>
      <c r="J3" s="55"/>
      <c r="K3" s="28" t="s">
        <v>181</v>
      </c>
      <c r="L3" s="28" t="s">
        <v>182</v>
      </c>
      <c r="M3" s="29" t="s">
        <v>183</v>
      </c>
      <c r="N3" s="55"/>
      <c r="O3" s="55"/>
      <c r="P3" s="55"/>
      <c r="Q3" s="55"/>
      <c r="R3" s="142"/>
      <c r="S3" s="55"/>
      <c r="T3" s="55"/>
      <c r="U3" s="55"/>
      <c r="V3" s="55"/>
      <c r="W3" s="1"/>
      <c r="X3" s="1"/>
      <c r="Y3" s="1"/>
      <c r="Z3" s="1"/>
    </row>
    <row r="4" spans="1:26" ht="15.75" customHeight="1" thickTop="1">
      <c r="A4" s="1"/>
      <c r="B4" s="2" t="s">
        <v>15</v>
      </c>
      <c r="C4" s="3"/>
      <c r="D4" s="3"/>
      <c r="E4" s="3"/>
      <c r="F4" s="30" t="e">
        <f>(C4-D4)/E4</f>
        <v>#DIV/0!</v>
      </c>
      <c r="G4" s="3"/>
      <c r="H4" s="3"/>
      <c r="I4" s="3"/>
      <c r="J4" s="31"/>
      <c r="K4" s="3"/>
      <c r="L4" s="3"/>
      <c r="M4" s="3"/>
      <c r="N4" s="31"/>
      <c r="O4" s="31"/>
      <c r="P4" s="30">
        <f>J4+N4-O4</f>
        <v>0</v>
      </c>
      <c r="Q4" s="3"/>
      <c r="R4" s="130"/>
      <c r="S4" s="30">
        <f>Q4-R4</f>
        <v>0</v>
      </c>
      <c r="T4" s="3"/>
      <c r="U4" s="3"/>
      <c r="V4" s="32" t="e">
        <f>T4/U4</f>
        <v>#DIV/0!</v>
      </c>
      <c r="W4" s="1"/>
      <c r="X4" s="1"/>
      <c r="Y4" s="1"/>
      <c r="Z4" s="1"/>
    </row>
    <row r="5" spans="1:26" ht="15.75" customHeight="1">
      <c r="A5" s="1"/>
      <c r="B5" s="5" t="s">
        <v>16</v>
      </c>
      <c r="C5" s="6"/>
      <c r="D5" s="6"/>
      <c r="E5" s="6"/>
      <c r="F5" s="33"/>
      <c r="G5" s="6"/>
      <c r="H5" s="6"/>
      <c r="I5" s="6"/>
      <c r="J5" s="34"/>
      <c r="K5" s="6"/>
      <c r="L5" s="6"/>
      <c r="M5" s="6"/>
      <c r="N5" s="34"/>
      <c r="O5" s="34"/>
      <c r="P5" s="33"/>
      <c r="Q5" s="6"/>
      <c r="R5" s="94"/>
      <c r="S5" s="33"/>
      <c r="T5" s="6"/>
      <c r="U5" s="6"/>
      <c r="V5" s="35"/>
      <c r="W5" s="1"/>
      <c r="X5" s="1"/>
      <c r="Y5" s="1"/>
      <c r="Z5" s="1"/>
    </row>
    <row r="6" spans="1:26" ht="15.75" customHeight="1">
      <c r="A6" s="1"/>
      <c r="B6" s="36" t="s">
        <v>184</v>
      </c>
      <c r="C6" s="37">
        <v>2466950</v>
      </c>
      <c r="D6" s="37">
        <v>5311358</v>
      </c>
      <c r="E6" s="37">
        <v>19763133</v>
      </c>
      <c r="F6" s="30">
        <f t="shared" ref="F6:F10" si="0">(C6-D6)/E6</f>
        <v>-0.1439249535992092</v>
      </c>
      <c r="G6" s="6">
        <v>763364</v>
      </c>
      <c r="H6" s="38">
        <v>7525537</v>
      </c>
      <c r="I6" s="6">
        <v>360</v>
      </c>
      <c r="J6" s="34">
        <f>G6/(H6/I6)</f>
        <v>36.517133594586006</v>
      </c>
      <c r="K6" s="6">
        <f>14528+1106476</f>
        <v>1121004</v>
      </c>
      <c r="L6" s="6">
        <f>17349+1023238</f>
        <v>1040587</v>
      </c>
      <c r="M6" s="38">
        <v>94588403</v>
      </c>
      <c r="N6" s="34">
        <f>(I6)/(M6/L6)</f>
        <v>3.9604360378089902</v>
      </c>
      <c r="O6" s="34">
        <f>(J6)/(I6/N6)</f>
        <v>0.4017326996818994</v>
      </c>
      <c r="P6" s="30">
        <f>J6+N6-O6</f>
        <v>40.075836932713095</v>
      </c>
      <c r="Q6" s="6">
        <v>16608121</v>
      </c>
      <c r="R6" s="94">
        <v>14739791</v>
      </c>
      <c r="S6" s="30">
        <f t="shared" ref="S6:S163" si="1">Q6-R6</f>
        <v>1868330</v>
      </c>
      <c r="T6" s="38">
        <v>11702538</v>
      </c>
      <c r="U6" s="38">
        <v>8060595</v>
      </c>
      <c r="V6" s="32">
        <f t="shared" ref="V6:V163" si="2">T6/U6</f>
        <v>1.4518206162200185</v>
      </c>
      <c r="W6" s="1"/>
      <c r="X6" s="1"/>
      <c r="Y6" s="1"/>
      <c r="Z6" s="1"/>
    </row>
    <row r="7" spans="1:26" ht="15.75" customHeight="1">
      <c r="A7" s="1"/>
      <c r="B7" s="36" t="s">
        <v>18</v>
      </c>
      <c r="C7" s="38">
        <v>14424622</v>
      </c>
      <c r="D7" s="38">
        <v>3187742</v>
      </c>
      <c r="E7" s="38">
        <v>30150580</v>
      </c>
      <c r="F7" s="30">
        <f t="shared" si="0"/>
        <v>0.37269200128156738</v>
      </c>
      <c r="G7" s="38">
        <v>1780410</v>
      </c>
      <c r="H7" s="38">
        <v>9030433</v>
      </c>
      <c r="I7" s="6">
        <v>360</v>
      </c>
      <c r="J7" s="34">
        <f t="shared" ref="J6:J163" si="3">G7/(H7/I7)</f>
        <v>70.976397255812643</v>
      </c>
      <c r="K7" s="38">
        <f>59393+510478</f>
        <v>569871</v>
      </c>
      <c r="L7" s="6">
        <f>69081+2536242</f>
        <v>2605323</v>
      </c>
      <c r="M7" s="38">
        <v>15361894</v>
      </c>
      <c r="N7" s="34">
        <f t="shared" ref="N6:N163" si="4">(I7)/(M7/L7)</f>
        <v>61.054729319184212</v>
      </c>
      <c r="O7" s="34">
        <f t="shared" ref="O6:O163" si="5">(J7)/(I7/N7)</f>
        <v>12.037346451401472</v>
      </c>
      <c r="P7" s="30">
        <f t="shared" ref="P6:P163" si="6">J7+N7-O7</f>
        <v>119.99378012359537</v>
      </c>
      <c r="Q7" s="38">
        <v>14643695</v>
      </c>
      <c r="R7" s="94">
        <v>14504506</v>
      </c>
      <c r="S7" s="30">
        <f t="shared" si="1"/>
        <v>139189</v>
      </c>
      <c r="T7" s="38">
        <v>4011877</v>
      </c>
      <c r="U7" s="38">
        <v>26138703</v>
      </c>
      <c r="V7" s="32">
        <f t="shared" si="2"/>
        <v>0.15348416484169089</v>
      </c>
      <c r="W7" s="1"/>
      <c r="X7" s="1"/>
      <c r="Y7" s="1"/>
      <c r="Z7" s="1"/>
    </row>
    <row r="8" spans="1:26" ht="15.75" customHeight="1">
      <c r="A8" s="1"/>
      <c r="B8" s="36" t="s">
        <v>19</v>
      </c>
      <c r="C8" s="38">
        <v>838232034</v>
      </c>
      <c r="D8" s="38">
        <v>292237689</v>
      </c>
      <c r="E8" s="38">
        <v>4368876996</v>
      </c>
      <c r="F8" s="30">
        <f t="shared" si="0"/>
        <v>0.12497361347089754</v>
      </c>
      <c r="G8" s="38">
        <v>174238004</v>
      </c>
      <c r="H8" s="38">
        <v>1001809686</v>
      </c>
      <c r="I8" s="6">
        <v>360</v>
      </c>
      <c r="J8" s="34">
        <f t="shared" si="3"/>
        <v>62.61237270568774</v>
      </c>
      <c r="K8" s="38">
        <f>86298338+67374099</f>
        <v>153672437</v>
      </c>
      <c r="L8" s="6">
        <f>211658744+1084474</f>
        <v>212743218</v>
      </c>
      <c r="M8" s="38">
        <v>1522808093</v>
      </c>
      <c r="N8" s="34">
        <f t="shared" si="4"/>
        <v>50.293637676379227</v>
      </c>
      <c r="O8" s="34">
        <f t="shared" si="5"/>
        <v>8.7472332969952085</v>
      </c>
      <c r="P8" s="30">
        <f t="shared" si="6"/>
        <v>104.15877708507176</v>
      </c>
      <c r="Q8" s="38">
        <v>3480075405</v>
      </c>
      <c r="R8" s="94">
        <v>1330100964</v>
      </c>
      <c r="S8" s="30">
        <f t="shared" si="1"/>
        <v>2149974441</v>
      </c>
      <c r="T8" s="38">
        <v>1248119294</v>
      </c>
      <c r="U8" s="38">
        <v>3120757702</v>
      </c>
      <c r="V8" s="32">
        <f t="shared" si="2"/>
        <v>0.39994110827640278</v>
      </c>
      <c r="W8" s="1"/>
      <c r="X8" s="1"/>
      <c r="Y8" s="1"/>
      <c r="Z8" s="1"/>
    </row>
    <row r="9" spans="1:26" ht="15.75" customHeight="1">
      <c r="A9" s="1"/>
      <c r="B9" s="36" t="s">
        <v>20</v>
      </c>
      <c r="C9" s="38">
        <v>10373158827</v>
      </c>
      <c r="D9" s="38">
        <v>8151673428</v>
      </c>
      <c r="E9" s="38">
        <v>44226895982</v>
      </c>
      <c r="F9" s="30">
        <f t="shared" si="0"/>
        <v>5.0229285815222645E-2</v>
      </c>
      <c r="G9" s="38">
        <v>2671144517</v>
      </c>
      <c r="H9" s="38">
        <v>16278433690</v>
      </c>
      <c r="I9" s="6">
        <v>360</v>
      </c>
      <c r="J9" s="34">
        <f t="shared" si="3"/>
        <v>59.072761202493801</v>
      </c>
      <c r="K9" s="6">
        <f>3249070457+828686605</f>
        <v>4077757062</v>
      </c>
      <c r="L9" s="6">
        <f>3199717689+638200521</f>
        <v>3837918210</v>
      </c>
      <c r="M9" s="38">
        <v>26134306138</v>
      </c>
      <c r="N9" s="34">
        <f t="shared" si="4"/>
        <v>52.867313496073351</v>
      </c>
      <c r="O9" s="34">
        <f t="shared" si="5"/>
        <v>8.6750505154747746</v>
      </c>
      <c r="P9" s="30">
        <f t="shared" si="6"/>
        <v>103.26502418309236</v>
      </c>
      <c r="Q9" s="38">
        <v>30846750207</v>
      </c>
      <c r="R9" s="94">
        <v>27614415022</v>
      </c>
      <c r="S9" s="30">
        <f t="shared" si="1"/>
        <v>3232335185</v>
      </c>
      <c r="T9" s="38">
        <v>13652504525</v>
      </c>
      <c r="U9" s="38">
        <v>30574391457</v>
      </c>
      <c r="V9" s="32">
        <f t="shared" si="2"/>
        <v>0.44653397416596047</v>
      </c>
      <c r="W9" s="1"/>
      <c r="X9" s="1"/>
      <c r="Y9" s="1"/>
      <c r="Z9" s="1"/>
    </row>
    <row r="10" spans="1:26" ht="15.75" customHeight="1">
      <c r="A10" s="1"/>
      <c r="B10" s="36" t="s">
        <v>21</v>
      </c>
      <c r="C10" s="38">
        <v>2439936919733</v>
      </c>
      <c r="D10" s="38">
        <v>1863793637441</v>
      </c>
      <c r="E10" s="38">
        <v>4663078316968</v>
      </c>
      <c r="F10" s="30">
        <f t="shared" si="0"/>
        <v>0.12355427962587096</v>
      </c>
      <c r="G10" s="38">
        <v>694463252298</v>
      </c>
      <c r="H10" s="38">
        <v>2977298901593</v>
      </c>
      <c r="I10" s="6">
        <v>360</v>
      </c>
      <c r="J10" s="34">
        <f t="shared" si="3"/>
        <v>83.971001599306732</v>
      </c>
      <c r="K10" s="6">
        <f>616362291463+47773175022</f>
        <v>664135466485</v>
      </c>
      <c r="L10" s="6">
        <f>237514757305+415967274222</f>
        <v>653482031527</v>
      </c>
      <c r="M10" s="38">
        <v>3481731506128</v>
      </c>
      <c r="N10" s="34">
        <f t="shared" si="4"/>
        <v>67.567970400837467</v>
      </c>
      <c r="O10" s="34">
        <f t="shared" si="5"/>
        <v>15.760417084973978</v>
      </c>
      <c r="P10" s="30">
        <f t="shared" si="6"/>
        <v>135.77855491517025</v>
      </c>
      <c r="Q10" s="38">
        <v>22192223927235</v>
      </c>
      <c r="R10" s="94">
        <v>7042120697</v>
      </c>
      <c r="S10" s="30">
        <f t="shared" si="1"/>
        <v>22185181806538</v>
      </c>
      <c r="T10" s="38">
        <v>2171844671664</v>
      </c>
      <c r="U10" s="38">
        <v>2491233447304</v>
      </c>
      <c r="V10" s="32">
        <f t="shared" si="2"/>
        <v>0.87179492311905138</v>
      </c>
      <c r="W10" s="1"/>
      <c r="X10" s="1"/>
      <c r="Y10" s="1"/>
      <c r="Z10" s="1"/>
    </row>
    <row r="11" spans="1:26" ht="15.75" customHeight="1">
      <c r="A11" s="1"/>
      <c r="B11" s="9" t="s">
        <v>22</v>
      </c>
      <c r="C11" s="6"/>
      <c r="D11" s="6"/>
      <c r="E11" s="6"/>
      <c r="F11" s="30"/>
      <c r="G11" s="6"/>
      <c r="H11" s="6"/>
      <c r="I11" s="6"/>
      <c r="J11" s="34" t="e">
        <f t="shared" si="3"/>
        <v>#DIV/0!</v>
      </c>
      <c r="K11" s="6"/>
      <c r="L11" s="6"/>
      <c r="M11" s="6"/>
      <c r="N11" s="34" t="e">
        <f t="shared" si="4"/>
        <v>#DIV/0!</v>
      </c>
      <c r="O11" s="34" t="e">
        <f t="shared" si="5"/>
        <v>#DIV/0!</v>
      </c>
      <c r="P11" s="30" t="e">
        <f t="shared" si="6"/>
        <v>#DIV/0!</v>
      </c>
      <c r="Q11" s="6"/>
      <c r="R11" s="94"/>
      <c r="S11" s="30">
        <f t="shared" si="1"/>
        <v>0</v>
      </c>
      <c r="T11" s="6"/>
      <c r="U11" s="6"/>
      <c r="V11" s="32" t="e">
        <f t="shared" si="2"/>
        <v>#DIV/0!</v>
      </c>
      <c r="W11" s="1"/>
      <c r="X11" s="1"/>
      <c r="Y11" s="1"/>
      <c r="Z11" s="1"/>
    </row>
    <row r="12" spans="1:26" ht="15.75" customHeight="1">
      <c r="A12" s="1"/>
      <c r="B12" s="36" t="s">
        <v>23</v>
      </c>
      <c r="C12" s="38">
        <v>642892045913</v>
      </c>
      <c r="D12" s="38">
        <v>476631150852</v>
      </c>
      <c r="E12" s="38">
        <v>1543216299146</v>
      </c>
      <c r="F12" s="30">
        <f t="shared" ref="F12:F17" si="7">(C12-D12)/E12</f>
        <v>0.10773661161627639</v>
      </c>
      <c r="G12" s="38">
        <v>168265862770</v>
      </c>
      <c r="H12" s="38">
        <v>1182892442278</v>
      </c>
      <c r="I12" s="38">
        <v>360</v>
      </c>
      <c r="J12" s="34">
        <f t="shared" si="3"/>
        <v>51.209821309318734</v>
      </c>
      <c r="K12" s="38">
        <v>206152925328</v>
      </c>
      <c r="L12" s="6">
        <f>442233969661+18675638370</f>
        <v>460909608031</v>
      </c>
      <c r="M12" s="38">
        <v>1511978367218</v>
      </c>
      <c r="N12" s="34">
        <f t="shared" si="4"/>
        <v>109.7419529860484</v>
      </c>
      <c r="O12" s="34">
        <f t="shared" si="5"/>
        <v>15.61073834041999</v>
      </c>
      <c r="P12" s="30">
        <f t="shared" si="6"/>
        <v>145.34103595494713</v>
      </c>
      <c r="Q12" s="38">
        <v>858698468313</v>
      </c>
      <c r="R12" s="94">
        <v>921601468468</v>
      </c>
      <c r="S12" s="30">
        <f t="shared" si="1"/>
        <v>-62903000155</v>
      </c>
      <c r="T12" s="38">
        <v>595128097887</v>
      </c>
      <c r="U12" s="38">
        <v>948088201259</v>
      </c>
      <c r="V12" s="32">
        <f t="shared" si="2"/>
        <v>0.62771385309584937</v>
      </c>
      <c r="W12" s="1"/>
      <c r="X12" s="1"/>
      <c r="Y12" s="1"/>
      <c r="Z12" s="1"/>
    </row>
    <row r="13" spans="1:26" ht="15.75" customHeight="1">
      <c r="A13" s="1"/>
      <c r="B13" s="36" t="s">
        <v>24</v>
      </c>
      <c r="C13" s="38">
        <v>1787723</v>
      </c>
      <c r="D13" s="38">
        <v>885086</v>
      </c>
      <c r="E13" s="38">
        <v>5504890</v>
      </c>
      <c r="F13" s="30">
        <f t="shared" si="7"/>
        <v>0.16397003391530077</v>
      </c>
      <c r="G13" s="38">
        <v>957425</v>
      </c>
      <c r="H13" s="38">
        <v>2939551</v>
      </c>
      <c r="I13" s="38">
        <v>360</v>
      </c>
      <c r="J13" s="34">
        <f t="shared" si="3"/>
        <v>117.25362138639539</v>
      </c>
      <c r="K13" s="38">
        <v>308377</v>
      </c>
      <c r="L13" s="38">
        <v>358377</v>
      </c>
      <c r="M13" s="38">
        <v>3724075</v>
      </c>
      <c r="N13" s="34">
        <f t="shared" si="4"/>
        <v>34.643695414297511</v>
      </c>
      <c r="O13" s="34">
        <f t="shared" si="5"/>
        <v>11.28360762648234</v>
      </c>
      <c r="P13" s="30">
        <f t="shared" si="6"/>
        <v>140.61370917421058</v>
      </c>
      <c r="Q13" s="38">
        <v>3520207</v>
      </c>
      <c r="R13" s="94">
        <v>2039094</v>
      </c>
      <c r="S13" s="30">
        <f t="shared" si="1"/>
        <v>1481113</v>
      </c>
      <c r="T13" s="38">
        <v>1905626</v>
      </c>
      <c r="U13" s="38">
        <v>3599264</v>
      </c>
      <c r="V13" s="32">
        <f t="shared" si="2"/>
        <v>0.52944879842101056</v>
      </c>
      <c r="W13" s="1"/>
      <c r="X13" s="1"/>
      <c r="Y13" s="1"/>
      <c r="Z13" s="1"/>
    </row>
    <row r="14" spans="1:26" ht="15.75" customHeight="1">
      <c r="A14" s="1"/>
      <c r="B14" s="36" t="s">
        <v>25</v>
      </c>
      <c r="C14" s="38">
        <v>38485081</v>
      </c>
      <c r="D14" s="38">
        <v>191371168</v>
      </c>
      <c r="E14" s="38">
        <v>265028561</v>
      </c>
      <c r="F14" s="30">
        <f t="shared" si="7"/>
        <v>-0.57686645704573702</v>
      </c>
      <c r="G14" s="38">
        <v>24653766</v>
      </c>
      <c r="H14" s="38">
        <v>102612889</v>
      </c>
      <c r="I14" s="38">
        <v>360</v>
      </c>
      <c r="J14" s="34">
        <f t="shared" si="3"/>
        <v>86.49357645509815</v>
      </c>
      <c r="K14" s="38">
        <v>26435709</v>
      </c>
      <c r="L14" s="38">
        <v>10137283</v>
      </c>
      <c r="M14" s="38">
        <v>83772635</v>
      </c>
      <c r="N14" s="34">
        <f t="shared" si="4"/>
        <v>43.563412801805747</v>
      </c>
      <c r="O14" s="34">
        <f t="shared" si="5"/>
        <v>10.46654271060552</v>
      </c>
      <c r="P14" s="30">
        <f t="shared" si="6"/>
        <v>119.59044654629838</v>
      </c>
      <c r="Q14" s="38">
        <v>130597249</v>
      </c>
      <c r="R14" s="94">
        <v>246724853235</v>
      </c>
      <c r="S14" s="30">
        <f t="shared" si="1"/>
        <v>-246594255986</v>
      </c>
      <c r="T14" s="38">
        <v>326877597</v>
      </c>
      <c r="U14" s="38">
        <v>61849036</v>
      </c>
      <c r="V14" s="32">
        <f t="shared" si="2"/>
        <v>5.2850879842330931</v>
      </c>
      <c r="W14" s="1"/>
      <c r="X14" s="1"/>
      <c r="Y14" s="1"/>
      <c r="Z14" s="1"/>
    </row>
    <row r="15" spans="1:26" ht="15.75" customHeight="1">
      <c r="A15" s="1"/>
      <c r="B15" s="36" t="s">
        <v>26</v>
      </c>
      <c r="C15" s="38">
        <v>519660973376</v>
      </c>
      <c r="D15" s="38">
        <v>165847701694</v>
      </c>
      <c r="E15" s="38">
        <v>1859669927962</v>
      </c>
      <c r="F15" s="30">
        <f t="shared" si="7"/>
        <v>0.19025595153315278</v>
      </c>
      <c r="G15" s="38">
        <v>104654714165</v>
      </c>
      <c r="H15" s="38">
        <v>915875675474</v>
      </c>
      <c r="I15" s="38">
        <v>360</v>
      </c>
      <c r="J15" s="34">
        <f t="shared" si="3"/>
        <v>41.136256926903769</v>
      </c>
      <c r="K15" s="38">
        <v>83303422890</v>
      </c>
      <c r="L15" s="6">
        <f>5439214130+366021646441</f>
        <v>371460860571</v>
      </c>
      <c r="M15" s="38">
        <v>863714584966</v>
      </c>
      <c r="N15" s="34">
        <f t="shared" si="4"/>
        <v>154.82650418694053</v>
      </c>
      <c r="O15" s="34">
        <f t="shared" si="5"/>
        <v>17.691619042578687</v>
      </c>
      <c r="P15" s="30">
        <f t="shared" si="6"/>
        <v>178.27114207126561</v>
      </c>
      <c r="Q15" s="38">
        <v>1321545244459</v>
      </c>
      <c r="R15" s="94">
        <v>1442334805994</v>
      </c>
      <c r="S15" s="30">
        <f t="shared" si="1"/>
        <v>-120789561535</v>
      </c>
      <c r="T15" s="38">
        <v>339639855817</v>
      </c>
      <c r="U15" s="38">
        <v>1520020072145</v>
      </c>
      <c r="V15" s="32">
        <f t="shared" si="2"/>
        <v>0.22344432290141533</v>
      </c>
      <c r="W15" s="1"/>
      <c r="X15" s="1"/>
      <c r="Y15" s="1"/>
      <c r="Z15" s="1"/>
    </row>
    <row r="16" spans="1:26" ht="15.75" customHeight="1">
      <c r="A16" s="1"/>
      <c r="B16" s="36" t="s">
        <v>27</v>
      </c>
      <c r="C16" s="38">
        <v>1589944730</v>
      </c>
      <c r="D16" s="38">
        <v>1849891122</v>
      </c>
      <c r="E16" s="38">
        <v>7723578677</v>
      </c>
      <c r="F16" s="30">
        <f t="shared" si="7"/>
        <v>-3.3656210789189324E-2</v>
      </c>
      <c r="G16" s="38">
        <v>890959036</v>
      </c>
      <c r="H16" s="38">
        <v>4839217586</v>
      </c>
      <c r="I16" s="38">
        <v>360</v>
      </c>
      <c r="J16" s="34">
        <f t="shared" si="3"/>
        <v>66.280394972924043</v>
      </c>
      <c r="K16" s="38">
        <v>908232351</v>
      </c>
      <c r="L16" s="6">
        <f>2423243+476241302</f>
        <v>478664545</v>
      </c>
      <c r="M16" s="38">
        <v>5793737618</v>
      </c>
      <c r="N16" s="34">
        <f t="shared" si="4"/>
        <v>29.742326553525331</v>
      </c>
      <c r="O16" s="34">
        <f t="shared" si="5"/>
        <v>5.4759254205037378</v>
      </c>
      <c r="P16" s="30">
        <f t="shared" si="6"/>
        <v>90.546796105945631</v>
      </c>
      <c r="Q16" s="38">
        <v>6042932759</v>
      </c>
      <c r="R16" s="94">
        <v>5595602490</v>
      </c>
      <c r="S16" s="30">
        <f t="shared" si="1"/>
        <v>447330269</v>
      </c>
      <c r="T16" s="38">
        <v>6110478983</v>
      </c>
      <c r="U16" s="38">
        <v>1613099694</v>
      </c>
      <c r="V16" s="32">
        <f t="shared" si="2"/>
        <v>3.7880355477892738</v>
      </c>
      <c r="W16" s="1"/>
      <c r="X16" s="1"/>
      <c r="Y16" s="1"/>
      <c r="Z16" s="1"/>
    </row>
    <row r="17" spans="1:26" ht="15.75" customHeight="1">
      <c r="A17" s="1"/>
      <c r="B17" s="36" t="s">
        <v>28</v>
      </c>
      <c r="C17" s="38">
        <v>1290208433386</v>
      </c>
      <c r="D17" s="38">
        <v>589149809544</v>
      </c>
      <c r="E17" s="38">
        <v>2581440938262</v>
      </c>
      <c r="F17" s="30">
        <f t="shared" si="7"/>
        <v>0.27157647244643135</v>
      </c>
      <c r="G17" s="38">
        <v>646863967025</v>
      </c>
      <c r="H17" s="38">
        <v>1625425378349</v>
      </c>
      <c r="I17" s="38">
        <v>360</v>
      </c>
      <c r="J17" s="34">
        <f t="shared" si="3"/>
        <v>143.26774469679748</v>
      </c>
      <c r="K17" s="6">
        <f>22195228375+174826727891</f>
        <v>197021956266</v>
      </c>
      <c r="L17" s="6">
        <f>447844755705+18151208094</f>
        <v>465995963799</v>
      </c>
      <c r="M17" s="38">
        <v>2069017634710</v>
      </c>
      <c r="N17" s="34">
        <f t="shared" si="4"/>
        <v>81.08125525530069</v>
      </c>
      <c r="O17" s="34">
        <f t="shared" si="5"/>
        <v>32.267579382256358</v>
      </c>
      <c r="P17" s="30">
        <f t="shared" si="6"/>
        <v>192.08142056984178</v>
      </c>
      <c r="Q17" s="38">
        <v>881751585677</v>
      </c>
      <c r="R17" s="94">
        <v>1091478253841</v>
      </c>
      <c r="S17" s="30">
        <f t="shared" si="1"/>
        <v>-209726668164</v>
      </c>
      <c r="T17" s="38">
        <v>1057566418720</v>
      </c>
      <c r="U17" s="38">
        <v>1523874519542</v>
      </c>
      <c r="V17" s="32">
        <f t="shared" si="2"/>
        <v>0.6939983608610053</v>
      </c>
      <c r="W17" s="1"/>
      <c r="X17" s="1"/>
      <c r="Y17" s="1"/>
      <c r="Z17" s="1"/>
    </row>
    <row r="18" spans="1:26" ht="15.75" customHeight="1">
      <c r="A18" s="1"/>
      <c r="B18" s="9" t="s">
        <v>29</v>
      </c>
      <c r="C18" s="6"/>
      <c r="D18" s="6"/>
      <c r="E18" s="6"/>
      <c r="F18" s="30"/>
      <c r="G18" s="6"/>
      <c r="H18" s="6"/>
      <c r="I18" s="38"/>
      <c r="J18" s="34" t="e">
        <f t="shared" si="3"/>
        <v>#DIV/0!</v>
      </c>
      <c r="K18" s="6"/>
      <c r="L18" s="6"/>
      <c r="M18" s="6"/>
      <c r="N18" s="34" t="e">
        <f t="shared" si="4"/>
        <v>#DIV/0!</v>
      </c>
      <c r="O18" s="34" t="e">
        <f t="shared" si="5"/>
        <v>#DIV/0!</v>
      </c>
      <c r="P18" s="30" t="e">
        <f t="shared" si="6"/>
        <v>#DIV/0!</v>
      </c>
      <c r="Q18" s="6"/>
      <c r="R18" s="94"/>
      <c r="S18" s="30">
        <f t="shared" si="1"/>
        <v>0</v>
      </c>
      <c r="T18" s="6"/>
      <c r="U18" s="6"/>
      <c r="V18" s="32" t="e">
        <f t="shared" si="2"/>
        <v>#DIV/0!</v>
      </c>
      <c r="W18" s="1"/>
      <c r="X18" s="1"/>
      <c r="Y18" s="1"/>
      <c r="Z18" s="1"/>
    </row>
    <row r="19" spans="1:26" ht="15.75" customHeight="1">
      <c r="A19" s="1"/>
      <c r="B19" s="36" t="s">
        <v>30</v>
      </c>
      <c r="C19" s="38">
        <v>58323930</v>
      </c>
      <c r="D19" s="38">
        <v>63472099</v>
      </c>
      <c r="E19" s="38">
        <v>136618855</v>
      </c>
      <c r="F19" s="30">
        <f t="shared" ref="F19:F163" si="8">(C19-D19)/E19</f>
        <v>-3.7682712243489375E-2</v>
      </c>
      <c r="G19" s="38">
        <v>21163233</v>
      </c>
      <c r="H19" s="38">
        <v>1121597912</v>
      </c>
      <c r="I19" s="38">
        <v>360</v>
      </c>
      <c r="J19" s="34">
        <f t="shared" si="3"/>
        <v>6.7927764473227725</v>
      </c>
      <c r="K19" s="38">
        <v>9089939</v>
      </c>
      <c r="L19" s="38">
        <v>15007989</v>
      </c>
      <c r="M19" s="38">
        <v>1151605756</v>
      </c>
      <c r="N19" s="34">
        <f t="shared" si="4"/>
        <v>4.691602149303602</v>
      </c>
      <c r="O19" s="34">
        <f t="shared" si="5"/>
        <v>8.85250127222178E-2</v>
      </c>
      <c r="P19" s="30">
        <f t="shared" si="6"/>
        <v>11.395853583904156</v>
      </c>
      <c r="Q19" s="38">
        <v>24056278</v>
      </c>
      <c r="R19" s="94">
        <v>72845543</v>
      </c>
      <c r="S19" s="30">
        <f t="shared" si="1"/>
        <v>-48789265</v>
      </c>
      <c r="T19" s="38">
        <v>75514424</v>
      </c>
      <c r="U19" s="38">
        <v>61104431</v>
      </c>
      <c r="V19" s="32">
        <f t="shared" si="2"/>
        <v>1.2358256637722393</v>
      </c>
      <c r="W19" s="1"/>
      <c r="X19" s="1"/>
      <c r="Y19" s="1"/>
      <c r="Z19" s="1"/>
    </row>
    <row r="20" spans="1:26" ht="15.75" customHeight="1">
      <c r="A20" s="1"/>
      <c r="B20" s="36" t="s">
        <v>31</v>
      </c>
      <c r="C20" s="38">
        <v>1424711407181</v>
      </c>
      <c r="D20" s="38">
        <v>1667249369925</v>
      </c>
      <c r="E20" s="38">
        <v>2153030503531</v>
      </c>
      <c r="F20" s="30">
        <f t="shared" si="8"/>
        <v>-0.11264957107957103</v>
      </c>
      <c r="G20" s="38">
        <v>840062055130</v>
      </c>
      <c r="H20" s="38">
        <v>2398715233863</v>
      </c>
      <c r="I20" s="38">
        <v>360</v>
      </c>
      <c r="J20" s="34">
        <f t="shared" si="3"/>
        <v>126.0767996039969</v>
      </c>
      <c r="K20" s="6">
        <f>919419499454+87879086040</f>
        <v>1007298585494</v>
      </c>
      <c r="L20" s="6">
        <f>87093190871+42747243457</f>
        <v>129840434328</v>
      </c>
      <c r="M20" s="38">
        <v>2461800368336</v>
      </c>
      <c r="N20" s="34">
        <f t="shared" si="4"/>
        <v>18.987143295325204</v>
      </c>
      <c r="O20" s="34">
        <f t="shared" si="5"/>
        <v>6.6495507230474704</v>
      </c>
      <c r="P20" s="30">
        <f t="shared" si="6"/>
        <v>138.41439217627465</v>
      </c>
      <c r="Q20" s="38">
        <v>701939227149</v>
      </c>
      <c r="R20" s="143">
        <v>818253773565</v>
      </c>
      <c r="S20" s="30">
        <f t="shared" si="1"/>
        <v>-116314546416</v>
      </c>
      <c r="T20" s="38">
        <v>1749336161470</v>
      </c>
      <c r="U20" s="38">
        <v>403694342061</v>
      </c>
      <c r="V20" s="32">
        <f t="shared" si="2"/>
        <v>4.3333185016639835</v>
      </c>
      <c r="W20" s="1"/>
      <c r="X20" s="1"/>
      <c r="Y20" s="1"/>
      <c r="Z20" s="1"/>
    </row>
    <row r="21" spans="1:26" ht="15.75" customHeight="1">
      <c r="A21" s="1"/>
      <c r="B21" s="36" t="s">
        <v>32</v>
      </c>
      <c r="C21" s="38">
        <v>128801476086</v>
      </c>
      <c r="D21" s="38">
        <v>3052317064</v>
      </c>
      <c r="E21" s="38">
        <v>177290628918</v>
      </c>
      <c r="F21" s="30">
        <f t="shared" si="8"/>
        <v>0.70928260444132762</v>
      </c>
      <c r="G21" s="38">
        <v>7351791153</v>
      </c>
      <c r="H21" s="38">
        <v>61788701504</v>
      </c>
      <c r="I21" s="38">
        <v>360</v>
      </c>
      <c r="J21" s="34">
        <f t="shared" si="3"/>
        <v>42.833798909152748</v>
      </c>
      <c r="K21" s="6">
        <f>29405574000+216705310</f>
        <v>29622279310</v>
      </c>
      <c r="L21" s="6">
        <f>196051141+7168055236</f>
        <v>7364106377</v>
      </c>
      <c r="M21" s="38">
        <v>62760109860</v>
      </c>
      <c r="N21" s="34">
        <f t="shared" si="4"/>
        <v>42.241454032406949</v>
      </c>
      <c r="O21" s="34">
        <f t="shared" si="5"/>
        <v>5.0260054101509404</v>
      </c>
      <c r="P21" s="30">
        <f t="shared" si="6"/>
        <v>80.049247531408753</v>
      </c>
      <c r="Q21" s="38">
        <v>11883973967</v>
      </c>
      <c r="R21" s="94">
        <v>183116245288</v>
      </c>
      <c r="S21" s="30">
        <f t="shared" si="1"/>
        <v>-171232271321</v>
      </c>
      <c r="T21" s="38">
        <v>33757198849</v>
      </c>
      <c r="U21" s="38">
        <v>143533430069</v>
      </c>
      <c r="V21" s="32">
        <f t="shared" si="2"/>
        <v>0.23518701415253643</v>
      </c>
      <c r="W21" s="1"/>
      <c r="X21" s="1"/>
      <c r="Y21" s="1"/>
      <c r="Z21" s="1"/>
    </row>
    <row r="22" spans="1:26" ht="15.75" customHeight="1">
      <c r="A22" s="1"/>
      <c r="B22" s="36" t="s">
        <v>33</v>
      </c>
      <c r="C22" s="38">
        <v>135075443</v>
      </c>
      <c r="D22" s="38">
        <v>81872149</v>
      </c>
      <c r="E22" s="38">
        <v>221701136</v>
      </c>
      <c r="F22" s="30">
        <f t="shared" si="8"/>
        <v>0.23997754346193337</v>
      </c>
      <c r="G22" s="38">
        <v>83743168</v>
      </c>
      <c r="H22" s="38">
        <v>80243504</v>
      </c>
      <c r="I22" s="38">
        <v>360</v>
      </c>
      <c r="J22" s="34">
        <f t="shared" si="3"/>
        <v>375.70069821477387</v>
      </c>
      <c r="K22" s="6">
        <f>1243736+19678880</f>
        <v>20922616</v>
      </c>
      <c r="L22" s="6">
        <f>3060107+3264452</f>
        <v>6324559</v>
      </c>
      <c r="M22" s="38">
        <v>98485071</v>
      </c>
      <c r="N22" s="34">
        <f t="shared" si="4"/>
        <v>23.118643433785007</v>
      </c>
      <c r="O22" s="34">
        <f t="shared" si="5"/>
        <v>24.126917999587288</v>
      </c>
      <c r="P22" s="30">
        <f t="shared" si="6"/>
        <v>374.69242364897156</v>
      </c>
      <c r="Q22" s="38">
        <v>57203487</v>
      </c>
      <c r="R22" s="94">
        <v>95582783</v>
      </c>
      <c r="S22" s="30">
        <f t="shared" si="1"/>
        <v>-38379296</v>
      </c>
      <c r="T22" s="38">
        <v>42003025</v>
      </c>
      <c r="U22" s="38">
        <v>117620581</v>
      </c>
      <c r="V22" s="32">
        <f t="shared" si="2"/>
        <v>0.35710608333077354</v>
      </c>
      <c r="W22" s="1"/>
      <c r="X22" s="1"/>
      <c r="Y22" s="1"/>
      <c r="Z22" s="1"/>
    </row>
    <row r="23" spans="1:26" ht="15.75" customHeight="1">
      <c r="A23" s="1"/>
      <c r="B23" s="36" t="s">
        <v>34</v>
      </c>
      <c r="C23" s="38">
        <v>467637658247</v>
      </c>
      <c r="D23" s="38">
        <v>377013051111</v>
      </c>
      <c r="E23" s="38">
        <v>1257609869910</v>
      </c>
      <c r="F23" s="30">
        <f t="shared" si="8"/>
        <v>7.2060985926013357E-2</v>
      </c>
      <c r="G23" s="38">
        <v>157354192666</v>
      </c>
      <c r="H23" s="38">
        <v>647653123099</v>
      </c>
      <c r="I23" s="38">
        <v>360</v>
      </c>
      <c r="J23" s="34">
        <f t="shared" si="3"/>
        <v>87.465816714823262</v>
      </c>
      <c r="K23" s="6">
        <f>169027290420+134920560969</f>
        <v>303947851389</v>
      </c>
      <c r="L23" s="6">
        <f>60047972278+29405574000</f>
        <v>89453546278</v>
      </c>
      <c r="M23" s="38">
        <v>757282528180</v>
      </c>
      <c r="N23" s="34">
        <f t="shared" si="4"/>
        <v>42.524784953741253</v>
      </c>
      <c r="O23" s="34">
        <f t="shared" si="5"/>
        <v>10.331847351670019</v>
      </c>
      <c r="P23" s="30">
        <f t="shared" si="6"/>
        <v>119.6587543168945</v>
      </c>
      <c r="Q23" s="38">
        <v>753802085246</v>
      </c>
      <c r="R23" s="94">
        <v>769172269318</v>
      </c>
      <c r="S23" s="30">
        <f t="shared" si="1"/>
        <v>-15370184072</v>
      </c>
      <c r="T23" s="38">
        <v>425486909790</v>
      </c>
      <c r="U23" s="38">
        <v>832122960120</v>
      </c>
      <c r="V23" s="32">
        <f t="shared" si="2"/>
        <v>0.51132696750566864</v>
      </c>
      <c r="W23" s="1"/>
      <c r="X23" s="1"/>
      <c r="Y23" s="1"/>
      <c r="Z23" s="1"/>
    </row>
    <row r="24" spans="1:26" ht="15.75" customHeight="1">
      <c r="A24" s="1"/>
      <c r="B24" s="36" t="s">
        <v>35</v>
      </c>
      <c r="C24" s="38">
        <v>974282450341</v>
      </c>
      <c r="D24" s="38">
        <v>971422099001</v>
      </c>
      <c r="E24" s="38">
        <v>1339032413455</v>
      </c>
      <c r="F24" s="30">
        <f t="shared" si="8"/>
        <v>2.1361330101185979E-3</v>
      </c>
      <c r="G24" s="38">
        <v>273663610424</v>
      </c>
      <c r="H24" s="38">
        <v>1111377175714</v>
      </c>
      <c r="I24" s="38">
        <v>360</v>
      </c>
      <c r="J24" s="34">
        <f t="shared" si="3"/>
        <v>88.645782822871908</v>
      </c>
      <c r="K24" s="6">
        <f>263025279347+5106678249</f>
        <v>268131957596</v>
      </c>
      <c r="L24" s="6">
        <f>533724653409+3423075342</f>
        <v>537147728751</v>
      </c>
      <c r="M24" s="38">
        <v>1284510320664</v>
      </c>
      <c r="N24" s="34">
        <f t="shared" si="4"/>
        <v>150.54233449085865</v>
      </c>
      <c r="O24" s="34">
        <f t="shared" si="5"/>
        <v>37.06928635812443</v>
      </c>
      <c r="P24" s="30">
        <f t="shared" si="6"/>
        <v>202.11883095560614</v>
      </c>
      <c r="Q24" s="38">
        <v>240067780723</v>
      </c>
      <c r="R24" s="94">
        <v>374793340985</v>
      </c>
      <c r="S24" s="30">
        <f t="shared" si="1"/>
        <v>-134725560262</v>
      </c>
      <c r="T24" s="38">
        <v>1081015810782</v>
      </c>
      <c r="U24" s="38">
        <v>258016602673</v>
      </c>
      <c r="V24" s="32">
        <f t="shared" si="2"/>
        <v>4.1897141485582479</v>
      </c>
      <c r="W24" s="1"/>
      <c r="X24" s="1"/>
      <c r="Y24" s="1"/>
      <c r="Z24" s="1"/>
    </row>
    <row r="25" spans="1:26" ht="15.75" customHeight="1">
      <c r="A25" s="1"/>
      <c r="B25" s="36" t="s">
        <v>36</v>
      </c>
      <c r="C25" s="38">
        <v>117120198198</v>
      </c>
      <c r="D25" s="38">
        <v>61304422851</v>
      </c>
      <c r="E25" s="38">
        <v>273181586009</v>
      </c>
      <c r="F25" s="30">
        <f t="shared" si="8"/>
        <v>0.20431748772833153</v>
      </c>
      <c r="G25" s="38">
        <v>20403235728</v>
      </c>
      <c r="H25" s="38">
        <v>250825197548</v>
      </c>
      <c r="I25" s="38">
        <v>360</v>
      </c>
      <c r="J25" s="34">
        <f t="shared" si="3"/>
        <v>29.28399911127098</v>
      </c>
      <c r="K25" s="38">
        <f>12457691833+22302764591</f>
        <v>34760456424</v>
      </c>
      <c r="L25" s="6">
        <f>9519880919+71482049208</f>
        <v>81001930127</v>
      </c>
      <c r="M25" s="38">
        <v>256234745701</v>
      </c>
      <c r="N25" s="34">
        <f t="shared" si="4"/>
        <v>113.8046082155758</v>
      </c>
      <c r="O25" s="34">
        <f t="shared" si="5"/>
        <v>9.257372349565177</v>
      </c>
      <c r="P25" s="30">
        <f t="shared" si="6"/>
        <v>133.83123497728161</v>
      </c>
      <c r="Q25" s="38">
        <v>45206083161</v>
      </c>
      <c r="R25" s="143">
        <v>153602025075</v>
      </c>
      <c r="S25" s="30">
        <f t="shared" si="1"/>
        <v>-108395941914</v>
      </c>
      <c r="T25" s="38">
        <v>714935414562</v>
      </c>
      <c r="U25" s="38">
        <v>441753828553</v>
      </c>
      <c r="V25" s="32">
        <f t="shared" si="2"/>
        <v>1.618402305428406</v>
      </c>
      <c r="W25" s="1"/>
      <c r="X25" s="1"/>
      <c r="Y25" s="1"/>
      <c r="Z25" s="1"/>
    </row>
    <row r="26" spans="1:26" ht="15.75" customHeight="1">
      <c r="A26" s="1"/>
      <c r="B26" s="36" t="s">
        <v>37</v>
      </c>
      <c r="C26" s="38">
        <v>210034339955</v>
      </c>
      <c r="D26" s="38">
        <v>20203062456</v>
      </c>
      <c r="E26" s="38">
        <v>351318309863</v>
      </c>
      <c r="F26" s="30">
        <f t="shared" si="8"/>
        <v>0.54033983475847458</v>
      </c>
      <c r="G26" s="38">
        <v>47026879636</v>
      </c>
      <c r="H26" s="38">
        <v>120194341667</v>
      </c>
      <c r="I26" s="38">
        <v>360</v>
      </c>
      <c r="J26" s="34">
        <f t="shared" si="3"/>
        <v>140.8525262850051</v>
      </c>
      <c r="K26" s="38">
        <v>17280557567</v>
      </c>
      <c r="L26" s="6">
        <f>17386711714+134724509828</f>
        <v>152111221542</v>
      </c>
      <c r="M26" s="38">
        <v>120691469840</v>
      </c>
      <c r="N26" s="34">
        <f t="shared" si="4"/>
        <v>453.7192216460291</v>
      </c>
      <c r="O26" s="34">
        <f t="shared" si="5"/>
        <v>177.52082942474826</v>
      </c>
      <c r="P26" s="30">
        <f t="shared" si="6"/>
        <v>417.05091850628594</v>
      </c>
      <c r="Q26" s="38">
        <v>11249057076</v>
      </c>
      <c r="R26" s="94">
        <v>149028569697</v>
      </c>
      <c r="S26" s="30">
        <f t="shared" si="1"/>
        <v>-137779512621</v>
      </c>
      <c r="T26" s="38">
        <v>43106380598</v>
      </c>
      <c r="U26" s="38">
        <v>308211929265</v>
      </c>
      <c r="V26" s="32">
        <f t="shared" si="2"/>
        <v>0.13985954632189859</v>
      </c>
      <c r="W26" s="1"/>
      <c r="X26" s="1"/>
      <c r="Y26" s="1"/>
      <c r="Z26" s="1"/>
    </row>
    <row r="27" spans="1:26" ht="15.75" customHeight="1">
      <c r="A27" s="1"/>
      <c r="B27" s="36" t="s">
        <v>38</v>
      </c>
      <c r="C27" s="38">
        <v>997324</v>
      </c>
      <c r="D27" s="38">
        <v>1224501</v>
      </c>
      <c r="E27" s="38">
        <v>3936713</v>
      </c>
      <c r="F27" s="30">
        <f t="shared" si="8"/>
        <v>-5.7707280159869416E-2</v>
      </c>
      <c r="G27" s="38">
        <v>473956</v>
      </c>
      <c r="H27" s="38">
        <v>1189489</v>
      </c>
      <c r="I27" s="38">
        <v>360</v>
      </c>
      <c r="J27" s="34">
        <f t="shared" si="3"/>
        <v>143.44324327505342</v>
      </c>
      <c r="K27" s="6">
        <f>149981+34878</f>
        <v>184859</v>
      </c>
      <c r="L27" s="6">
        <f>110006+72530</f>
        <v>182536</v>
      </c>
      <c r="M27" s="38">
        <v>1344715</v>
      </c>
      <c r="N27" s="34">
        <f t="shared" si="4"/>
        <v>48.867574169991407</v>
      </c>
      <c r="O27" s="34">
        <f t="shared" si="5"/>
        <v>19.471453694243873</v>
      </c>
      <c r="P27" s="30">
        <f t="shared" si="6"/>
        <v>172.83936375080094</v>
      </c>
      <c r="Q27" s="38">
        <v>2454393</v>
      </c>
      <c r="R27" s="94">
        <v>2809604</v>
      </c>
      <c r="S27" s="30">
        <f t="shared" si="1"/>
        <v>-355211</v>
      </c>
      <c r="T27" s="38">
        <v>2097036</v>
      </c>
      <c r="U27" s="38">
        <v>1839677</v>
      </c>
      <c r="V27" s="32">
        <f t="shared" si="2"/>
        <v>1.1398935791445999</v>
      </c>
      <c r="W27" s="1"/>
      <c r="X27" s="1"/>
      <c r="Y27" s="1"/>
      <c r="Z27" s="1"/>
    </row>
    <row r="28" spans="1:26" ht="15.75" customHeight="1">
      <c r="A28" s="1"/>
      <c r="B28" s="36" t="s">
        <v>39</v>
      </c>
      <c r="C28" s="38">
        <v>542813854009</v>
      </c>
      <c r="D28" s="38">
        <v>152533565561</v>
      </c>
      <c r="E28" s="38">
        <v>685812995987</v>
      </c>
      <c r="F28" s="30">
        <f t="shared" si="8"/>
        <v>0.56907683396451414</v>
      </c>
      <c r="G28" s="38">
        <v>156466742733</v>
      </c>
      <c r="H28" s="38">
        <v>224172295542</v>
      </c>
      <c r="I28" s="38">
        <v>360</v>
      </c>
      <c r="J28" s="34">
        <f t="shared" si="3"/>
        <v>251.27113610399999</v>
      </c>
      <c r="K28" s="38">
        <v>17015212979</v>
      </c>
      <c r="L28" s="6">
        <f>22000679980+85756914843</f>
        <v>107757594823</v>
      </c>
      <c r="M28" s="38">
        <v>379137149036</v>
      </c>
      <c r="N28" s="34">
        <f t="shared" si="4"/>
        <v>102.31847297189158</v>
      </c>
      <c r="O28" s="34">
        <f t="shared" si="5"/>
        <v>71.415774855760048</v>
      </c>
      <c r="P28" s="30">
        <f t="shared" si="6"/>
        <v>282.17383422013154</v>
      </c>
      <c r="Q28" s="38">
        <v>120394121583</v>
      </c>
      <c r="R28" s="94">
        <v>130984950529</v>
      </c>
      <c r="S28" s="30">
        <f t="shared" si="1"/>
        <v>-10590828946</v>
      </c>
      <c r="T28" s="38">
        <v>62676337255</v>
      </c>
      <c r="U28" s="38">
        <v>470603093171</v>
      </c>
      <c r="V28" s="32">
        <f t="shared" si="2"/>
        <v>0.13318301168119545</v>
      </c>
      <c r="W28" s="1"/>
      <c r="X28" s="1"/>
      <c r="Y28" s="1"/>
      <c r="Z28" s="1"/>
    </row>
    <row r="29" spans="1:26" ht="15.75" customHeight="1">
      <c r="A29" s="1"/>
      <c r="B29" s="36" t="s">
        <v>40</v>
      </c>
      <c r="C29" s="38">
        <v>98274709046</v>
      </c>
      <c r="D29" s="38">
        <v>35476763264</v>
      </c>
      <c r="E29" s="38">
        <v>162828169250</v>
      </c>
      <c r="F29" s="30">
        <f t="shared" si="8"/>
        <v>0.38567003529704058</v>
      </c>
      <c r="G29" s="38">
        <v>42726524501</v>
      </c>
      <c r="H29" s="38">
        <v>139395429411</v>
      </c>
      <c r="I29" s="38">
        <v>360</v>
      </c>
      <c r="J29" s="34">
        <f t="shared" si="3"/>
        <v>110.34471420873007</v>
      </c>
      <c r="K29" s="38">
        <v>16570800363</v>
      </c>
      <c r="L29" s="38">
        <v>19348826694</v>
      </c>
      <c r="M29" s="38">
        <v>157855084036</v>
      </c>
      <c r="N29" s="34">
        <f t="shared" si="4"/>
        <v>44.126406522652445</v>
      </c>
      <c r="O29" s="34">
        <f t="shared" si="5"/>
        <v>13.525321435556462</v>
      </c>
      <c r="P29" s="30">
        <f t="shared" si="6"/>
        <v>140.94579929582605</v>
      </c>
      <c r="Q29" s="38">
        <v>61896024068</v>
      </c>
      <c r="R29" s="94">
        <v>44656641997</v>
      </c>
      <c r="S29" s="30">
        <f t="shared" si="1"/>
        <v>17239382071</v>
      </c>
      <c r="T29" s="38">
        <v>45511700128</v>
      </c>
      <c r="U29" s="38">
        <v>117316469122</v>
      </c>
      <c r="V29" s="32">
        <f t="shared" si="2"/>
        <v>0.38793956610364205</v>
      </c>
      <c r="W29" s="1"/>
      <c r="X29" s="1"/>
      <c r="Y29" s="1"/>
      <c r="Z29" s="1"/>
    </row>
    <row r="30" spans="1:26" ht="15.75" customHeight="1">
      <c r="A30" s="1"/>
      <c r="B30" s="36" t="s">
        <v>41</v>
      </c>
      <c r="C30" s="38">
        <v>396400172713</v>
      </c>
      <c r="D30" s="38">
        <v>296005361843</v>
      </c>
      <c r="E30" s="38">
        <v>638566761462</v>
      </c>
      <c r="F30" s="30">
        <f t="shared" si="8"/>
        <v>0.15721897369062221</v>
      </c>
      <c r="G30" s="38">
        <v>247082275006</v>
      </c>
      <c r="H30" s="38">
        <v>622516071423</v>
      </c>
      <c r="I30" s="38">
        <v>360</v>
      </c>
      <c r="J30" s="34">
        <f t="shared" si="3"/>
        <v>142.88726522165351</v>
      </c>
      <c r="K30" s="38">
        <v>24958462470</v>
      </c>
      <c r="L30" s="6">
        <f>14539909696+74306073161</f>
        <v>88845982857</v>
      </c>
      <c r="M30" s="38">
        <v>705730705044</v>
      </c>
      <c r="N30" s="34">
        <f t="shared" si="4"/>
        <v>45.321187812744903</v>
      </c>
      <c r="O30" s="34">
        <f t="shared" si="5"/>
        <v>17.988390508777922</v>
      </c>
      <c r="P30" s="30">
        <f t="shared" si="6"/>
        <v>170.22006252562051</v>
      </c>
      <c r="Q30" s="38">
        <v>129057769907</v>
      </c>
      <c r="R30" s="94">
        <v>156727007835</v>
      </c>
      <c r="S30" s="30">
        <f t="shared" si="1"/>
        <v>-27669237928</v>
      </c>
      <c r="T30" s="38">
        <v>372723897214</v>
      </c>
      <c r="U30" s="38">
        <v>265842864248</v>
      </c>
      <c r="V30" s="32">
        <f t="shared" si="2"/>
        <v>1.4020458975580876</v>
      </c>
      <c r="W30" s="1"/>
      <c r="X30" s="1"/>
      <c r="Y30" s="1"/>
      <c r="Z30" s="1"/>
    </row>
    <row r="31" spans="1:26" ht="15.75" customHeight="1">
      <c r="A31" s="1"/>
      <c r="B31" s="36" t="s">
        <v>42</v>
      </c>
      <c r="C31" s="38">
        <v>87751429</v>
      </c>
      <c r="D31" s="38">
        <v>74988653</v>
      </c>
      <c r="E31" s="38">
        <v>119667792</v>
      </c>
      <c r="F31" s="30">
        <f t="shared" si="8"/>
        <v>0.10665172129189114</v>
      </c>
      <c r="G31" s="38">
        <v>27771729</v>
      </c>
      <c r="H31" s="38">
        <v>120652578</v>
      </c>
      <c r="I31" s="38">
        <v>360</v>
      </c>
      <c r="J31" s="34">
        <f t="shared" si="3"/>
        <v>82.864557108759001</v>
      </c>
      <c r="K31" s="6">
        <f>19285466+5473544</f>
        <v>24759010</v>
      </c>
      <c r="L31" s="38">
        <v>38150797</v>
      </c>
      <c r="M31" s="38">
        <v>131664283</v>
      </c>
      <c r="N31" s="34">
        <f t="shared" si="4"/>
        <v>104.31292835886252</v>
      </c>
      <c r="O31" s="34">
        <f t="shared" si="5"/>
        <v>24.010679469930139</v>
      </c>
      <c r="P31" s="30">
        <f t="shared" si="6"/>
        <v>163.16680599769137</v>
      </c>
      <c r="Q31" s="38">
        <v>25962279</v>
      </c>
      <c r="R31" s="94">
        <v>30157960</v>
      </c>
      <c r="S31" s="30">
        <f t="shared" si="1"/>
        <v>-4195681</v>
      </c>
      <c r="T31" s="38">
        <v>79660396</v>
      </c>
      <c r="U31" s="38">
        <v>40007396</v>
      </c>
      <c r="V31" s="32">
        <f t="shared" si="2"/>
        <v>1.9911417378926637</v>
      </c>
      <c r="W31" s="1"/>
      <c r="X31" s="1"/>
      <c r="Y31" s="1"/>
      <c r="Z31" s="1"/>
    </row>
    <row r="32" spans="1:26" ht="15.75" customHeight="1">
      <c r="A32" s="1"/>
      <c r="B32" s="36" t="s">
        <v>43</v>
      </c>
      <c r="C32" s="38">
        <v>749830324140</v>
      </c>
      <c r="D32" s="38">
        <v>775814969312</v>
      </c>
      <c r="E32" s="38">
        <v>982626956424</v>
      </c>
      <c r="F32" s="30">
        <f t="shared" si="8"/>
        <v>-2.6444058960649681E-2</v>
      </c>
      <c r="G32" s="38">
        <v>452203967651</v>
      </c>
      <c r="H32" s="38">
        <v>904178426940</v>
      </c>
      <c r="I32" s="38">
        <v>360</v>
      </c>
      <c r="J32" s="34">
        <f t="shared" si="3"/>
        <v>180.04568954968303</v>
      </c>
      <c r="K32" s="6">
        <f>1431107528+169288898748</f>
        <v>170720006276</v>
      </c>
      <c r="L32" s="6">
        <f>13276701961+229099006724</f>
        <v>242375708685</v>
      </c>
      <c r="M32" s="38">
        <v>978840639564</v>
      </c>
      <c r="N32" s="34">
        <f t="shared" si="4"/>
        <v>89.141430790476448</v>
      </c>
      <c r="O32" s="34">
        <f t="shared" si="5"/>
        <v>44.582028816990771</v>
      </c>
      <c r="P32" s="30">
        <f t="shared" si="6"/>
        <v>224.60509152316871</v>
      </c>
      <c r="Q32" s="38">
        <v>220563758390</v>
      </c>
      <c r="R32" s="94">
        <v>281422152905</v>
      </c>
      <c r="S32" s="30">
        <f t="shared" si="1"/>
        <v>-60858394515</v>
      </c>
      <c r="T32" s="38">
        <v>786124255950</v>
      </c>
      <c r="U32" s="38">
        <v>196502700474</v>
      </c>
      <c r="V32" s="32">
        <f t="shared" si="2"/>
        <v>4.0005773663859392</v>
      </c>
      <c r="W32" s="1"/>
      <c r="X32" s="1"/>
      <c r="Y32" s="1"/>
      <c r="Z32" s="1"/>
    </row>
    <row r="33" spans="1:26" ht="15.75" customHeight="1">
      <c r="A33" s="1"/>
      <c r="B33" s="36" t="s">
        <v>44</v>
      </c>
      <c r="C33" s="38">
        <v>3277978</v>
      </c>
      <c r="D33" s="38">
        <v>2827200</v>
      </c>
      <c r="E33" s="38">
        <v>6041811</v>
      </c>
      <c r="F33" s="30">
        <f t="shared" si="8"/>
        <v>7.4609748633315404E-2</v>
      </c>
      <c r="G33" s="38">
        <v>2453266</v>
      </c>
      <c r="H33" s="38">
        <v>2560584</v>
      </c>
      <c r="I33" s="38">
        <v>360</v>
      </c>
      <c r="J33" s="34">
        <f t="shared" si="3"/>
        <v>344.91184823462146</v>
      </c>
      <c r="K33" s="6">
        <f>101890+938</f>
        <v>102828</v>
      </c>
      <c r="L33" s="6">
        <f>638952+21279</f>
        <v>660231</v>
      </c>
      <c r="M33" s="38">
        <v>3259200</v>
      </c>
      <c r="N33" s="34">
        <f t="shared" si="4"/>
        <v>72.926840942562592</v>
      </c>
      <c r="O33" s="34">
        <f t="shared" si="5"/>
        <v>69.870365265032021</v>
      </c>
      <c r="P33" s="30">
        <f t="shared" si="6"/>
        <v>347.96832391215202</v>
      </c>
      <c r="Q33" s="38">
        <v>1984343</v>
      </c>
      <c r="R33" s="94">
        <v>2455010</v>
      </c>
      <c r="S33" s="30">
        <f t="shared" si="1"/>
        <v>-470667</v>
      </c>
      <c r="T33" s="38">
        <v>3396754</v>
      </c>
      <c r="U33" s="38">
        <v>2645057</v>
      </c>
      <c r="V33" s="32">
        <f t="shared" si="2"/>
        <v>1.2841893388308834</v>
      </c>
      <c r="W33" s="1"/>
      <c r="X33" s="1"/>
      <c r="Y33" s="1"/>
      <c r="Z33" s="1"/>
    </row>
    <row r="34" spans="1:26" ht="15.75" customHeight="1">
      <c r="A34" s="1"/>
      <c r="B34" s="36" t="s">
        <v>45</v>
      </c>
      <c r="C34" s="38">
        <v>99240489</v>
      </c>
      <c r="D34" s="38">
        <v>100447176</v>
      </c>
      <c r="E34" s="38">
        <v>129799075</v>
      </c>
      <c r="F34" s="30">
        <f t="shared" si="8"/>
        <v>-9.2965762660481201E-3</v>
      </c>
      <c r="G34" s="38">
        <v>15891281</v>
      </c>
      <c r="H34" s="38">
        <v>445847980</v>
      </c>
      <c r="I34" s="38">
        <v>360</v>
      </c>
      <c r="J34" s="34">
        <f t="shared" si="3"/>
        <v>12.831416573873454</v>
      </c>
      <c r="K34" s="6">
        <f>47084240+9355669</f>
        <v>56439909</v>
      </c>
      <c r="L34" s="6">
        <f>33191748+36948507</f>
        <v>70140255</v>
      </c>
      <c r="M34" s="38">
        <v>466334138</v>
      </c>
      <c r="N34" s="34">
        <f t="shared" si="4"/>
        <v>54.146779620924946</v>
      </c>
      <c r="O34" s="34">
        <f t="shared" si="5"/>
        <v>1.9299441262494714</v>
      </c>
      <c r="P34" s="30">
        <f t="shared" si="6"/>
        <v>65.048252068548933</v>
      </c>
      <c r="Q34" s="38">
        <v>11835671</v>
      </c>
      <c r="R34" s="144">
        <v>34455813</v>
      </c>
      <c r="S34" s="30">
        <f t="shared" si="1"/>
        <v>-22620142</v>
      </c>
      <c r="T34" s="38">
        <v>100865003</v>
      </c>
      <c r="U34" s="38">
        <v>28934072</v>
      </c>
      <c r="V34" s="32">
        <f t="shared" si="2"/>
        <v>3.4860286170574262</v>
      </c>
      <c r="W34" s="1"/>
      <c r="X34" s="1"/>
      <c r="Y34" s="1"/>
      <c r="Z34" s="1"/>
    </row>
    <row r="35" spans="1:26" ht="15.75" customHeight="1">
      <c r="A35" s="1"/>
      <c r="B35" s="9" t="s">
        <v>46</v>
      </c>
      <c r="C35" s="6"/>
      <c r="D35" s="6"/>
      <c r="E35" s="6"/>
      <c r="F35" s="30" t="e">
        <f t="shared" si="8"/>
        <v>#DIV/0!</v>
      </c>
      <c r="G35" s="6"/>
      <c r="H35" s="6"/>
      <c r="I35" s="6"/>
      <c r="J35" s="34" t="e">
        <f t="shared" si="3"/>
        <v>#DIV/0!</v>
      </c>
      <c r="K35" s="6"/>
      <c r="L35" s="6"/>
      <c r="M35" s="6"/>
      <c r="N35" s="34" t="e">
        <f t="shared" si="4"/>
        <v>#DIV/0!</v>
      </c>
      <c r="O35" s="34" t="e">
        <f t="shared" si="5"/>
        <v>#DIV/0!</v>
      </c>
      <c r="P35" s="30" t="e">
        <f t="shared" si="6"/>
        <v>#DIV/0!</v>
      </c>
      <c r="Q35" s="6"/>
      <c r="R35" s="94"/>
      <c r="S35" s="30">
        <f t="shared" si="1"/>
        <v>0</v>
      </c>
      <c r="T35" s="6"/>
      <c r="U35" s="6"/>
      <c r="V35" s="32" t="e">
        <f t="shared" si="2"/>
        <v>#DIV/0!</v>
      </c>
      <c r="W35" s="1"/>
      <c r="X35" s="1"/>
      <c r="Y35" s="1"/>
      <c r="Z35" s="1"/>
    </row>
    <row r="36" spans="1:26" ht="15.75" customHeight="1">
      <c r="A36" s="1"/>
      <c r="B36" s="36" t="s">
        <v>47</v>
      </c>
      <c r="C36" s="38">
        <v>728773</v>
      </c>
      <c r="D36" s="38">
        <v>544566</v>
      </c>
      <c r="E36" s="38">
        <v>2570590</v>
      </c>
      <c r="F36" s="30">
        <f t="shared" si="8"/>
        <v>7.1659424490097601E-2</v>
      </c>
      <c r="G36" s="38">
        <v>202382</v>
      </c>
      <c r="H36" s="38">
        <v>1473851</v>
      </c>
      <c r="I36" s="38">
        <v>360</v>
      </c>
      <c r="J36" s="34">
        <f t="shared" si="3"/>
        <v>49.433436622833653</v>
      </c>
      <c r="K36" s="38">
        <v>345867</v>
      </c>
      <c r="L36" s="38">
        <v>141503</v>
      </c>
      <c r="M36" s="38">
        <v>1961307</v>
      </c>
      <c r="N36" s="34">
        <f t="shared" si="4"/>
        <v>25.973027170147251</v>
      </c>
      <c r="O36" s="34">
        <f t="shared" si="5"/>
        <v>3.566488868107252</v>
      </c>
      <c r="P36" s="30">
        <f t="shared" si="6"/>
        <v>71.839974924873644</v>
      </c>
      <c r="Q36" s="38">
        <v>1584720</v>
      </c>
      <c r="R36" s="94">
        <v>1804617</v>
      </c>
      <c r="S36" s="30">
        <f t="shared" si="1"/>
        <v>-219897</v>
      </c>
      <c r="T36" s="38">
        <v>1122222</v>
      </c>
      <c r="U36" s="38">
        <v>1448368</v>
      </c>
      <c r="V36" s="32">
        <f t="shared" si="2"/>
        <v>0.77481827822763272</v>
      </c>
      <c r="W36" s="1"/>
      <c r="X36" s="1"/>
      <c r="Y36" s="1"/>
      <c r="Z36" s="1"/>
    </row>
    <row r="37" spans="1:26" ht="15.75" customHeight="1">
      <c r="A37" s="1"/>
      <c r="B37" s="36" t="s">
        <v>48</v>
      </c>
      <c r="C37" s="38">
        <v>692526</v>
      </c>
      <c r="D37" s="38">
        <v>453922</v>
      </c>
      <c r="E37" s="38">
        <v>2129269</v>
      </c>
      <c r="F37" s="30">
        <f t="shared" si="8"/>
        <v>0.11205911512354709</v>
      </c>
      <c r="G37" s="38">
        <v>199508</v>
      </c>
      <c r="H37" s="38">
        <v>1436018</v>
      </c>
      <c r="I37" s="38">
        <v>360</v>
      </c>
      <c r="J37" s="34">
        <f t="shared" si="3"/>
        <v>50.015306214824605</v>
      </c>
      <c r="K37" s="6">
        <f>25293+318812</f>
        <v>344105</v>
      </c>
      <c r="L37" s="6">
        <f>1663+135685</f>
        <v>137348</v>
      </c>
      <c r="M37" s="38">
        <v>1930336</v>
      </c>
      <c r="N37" s="34">
        <f t="shared" si="4"/>
        <v>25.61485668816206</v>
      </c>
      <c r="O37" s="34">
        <f t="shared" si="5"/>
        <v>3.55870805807576</v>
      </c>
      <c r="P37" s="30">
        <f t="shared" si="6"/>
        <v>72.071454844910903</v>
      </c>
      <c r="Q37" s="38">
        <v>1316744</v>
      </c>
      <c r="R37" s="145">
        <v>1445752</v>
      </c>
      <c r="S37" s="30">
        <f t="shared" si="1"/>
        <v>-129008</v>
      </c>
      <c r="T37" s="38">
        <v>987601</v>
      </c>
      <c r="U37" s="38">
        <v>1141668</v>
      </c>
      <c r="V37" s="32">
        <f t="shared" si="2"/>
        <v>0.86505096052442565</v>
      </c>
      <c r="W37" s="1"/>
      <c r="X37" s="1"/>
      <c r="Y37" s="1"/>
      <c r="Z37" s="1"/>
    </row>
    <row r="38" spans="1:26" ht="15.75" customHeight="1">
      <c r="A38" s="1"/>
      <c r="B38" s="36" t="s">
        <v>49</v>
      </c>
      <c r="C38" s="38">
        <v>174907377454</v>
      </c>
      <c r="D38" s="38">
        <v>11533925524</v>
      </c>
      <c r="E38" s="38">
        <v>296129565784</v>
      </c>
      <c r="F38" s="30">
        <f t="shared" si="8"/>
        <v>0.55169584805715177</v>
      </c>
      <c r="G38" s="38">
        <v>31771219374</v>
      </c>
      <c r="H38" s="38">
        <v>86448407274</v>
      </c>
      <c r="I38" s="38">
        <v>360</v>
      </c>
      <c r="J38" s="34">
        <f t="shared" si="3"/>
        <v>132.30595375098315</v>
      </c>
      <c r="K38" s="38">
        <v>8347674977</v>
      </c>
      <c r="L38" s="38">
        <v>10276286000</v>
      </c>
      <c r="M38" s="38">
        <v>115940711050</v>
      </c>
      <c r="N38" s="34">
        <f t="shared" si="4"/>
        <v>31.908230737041009</v>
      </c>
      <c r="O38" s="34">
        <f t="shared" si="5"/>
        <v>11.726802500474019</v>
      </c>
      <c r="P38" s="30">
        <f t="shared" si="6"/>
        <v>152.48738198755015</v>
      </c>
      <c r="Q38" s="38">
        <v>11927709719</v>
      </c>
      <c r="R38" s="94">
        <v>89383644192</v>
      </c>
      <c r="S38" s="30">
        <f t="shared" si="1"/>
        <v>-77455934473</v>
      </c>
      <c r="T38" s="38">
        <v>32865162199</v>
      </c>
      <c r="U38" s="38">
        <v>263264403585</v>
      </c>
      <c r="V38" s="32">
        <f t="shared" si="2"/>
        <v>0.12483709058824144</v>
      </c>
      <c r="W38" s="1"/>
      <c r="X38" s="1"/>
      <c r="Y38" s="1"/>
      <c r="Z38" s="1"/>
    </row>
    <row r="39" spans="1:26" ht="15.75" customHeight="1">
      <c r="A39" s="1"/>
      <c r="B39" s="36" t="s">
        <v>50</v>
      </c>
      <c r="C39" s="38">
        <v>337644083636</v>
      </c>
      <c r="D39" s="38">
        <v>69110450442</v>
      </c>
      <c r="E39" s="38">
        <v>702508630708</v>
      </c>
      <c r="F39" s="30">
        <f t="shared" si="8"/>
        <v>0.38224958592091218</v>
      </c>
      <c r="G39" s="38">
        <v>124204877915</v>
      </c>
      <c r="H39" s="38">
        <v>370430890081</v>
      </c>
      <c r="I39" s="38">
        <v>360</v>
      </c>
      <c r="J39" s="34">
        <f t="shared" si="3"/>
        <v>120.70741735286357</v>
      </c>
      <c r="K39" s="6">
        <f>21947743743+1157754094</f>
        <v>23105497837</v>
      </c>
      <c r="L39" s="38">
        <v>81737871362</v>
      </c>
      <c r="M39" s="38">
        <v>568638832579</v>
      </c>
      <c r="N39" s="34">
        <f t="shared" si="4"/>
        <v>51.747492440611587</v>
      </c>
      <c r="O39" s="34">
        <f t="shared" si="5"/>
        <v>17.350850463869598</v>
      </c>
      <c r="P39" s="30">
        <f t="shared" si="6"/>
        <v>155.10405932960558</v>
      </c>
      <c r="Q39" s="38">
        <v>354771515162</v>
      </c>
      <c r="R39" s="94">
        <v>105636392761</v>
      </c>
      <c r="S39" s="30">
        <f t="shared" si="1"/>
        <v>249135122401</v>
      </c>
      <c r="T39" s="38">
        <v>110503822983</v>
      </c>
      <c r="U39" s="38">
        <v>592004807725</v>
      </c>
      <c r="V39" s="32">
        <f t="shared" si="2"/>
        <v>0.18666034724895611</v>
      </c>
      <c r="W39" s="1"/>
      <c r="X39" s="1"/>
      <c r="Y39" s="1"/>
      <c r="Z39" s="1"/>
    </row>
    <row r="40" spans="1:26" ht="15.75" customHeight="1">
      <c r="A40" s="1"/>
      <c r="B40" s="36" t="s">
        <v>51</v>
      </c>
      <c r="C40" s="38">
        <v>82772799336</v>
      </c>
      <c r="D40" s="38">
        <v>170334228256</v>
      </c>
      <c r="E40" s="38">
        <v>1158935571034</v>
      </c>
      <c r="F40" s="30">
        <f t="shared" si="8"/>
        <v>-7.5553319018310805E-2</v>
      </c>
      <c r="G40" s="38">
        <v>8123333556</v>
      </c>
      <c r="H40" s="38">
        <v>260343937651</v>
      </c>
      <c r="I40" s="38">
        <v>360</v>
      </c>
      <c r="J40" s="34">
        <f t="shared" si="3"/>
        <v>11.232833407015066</v>
      </c>
      <c r="K40" s="38">
        <v>34491296312</v>
      </c>
      <c r="L40" s="6">
        <f>46815071412+470210970</f>
        <v>47285282382</v>
      </c>
      <c r="M40" s="38">
        <v>243013782107</v>
      </c>
      <c r="N40" s="34">
        <f t="shared" si="4"/>
        <v>70.048297302022277</v>
      </c>
      <c r="O40" s="34">
        <f t="shared" si="5"/>
        <v>2.1856690389963314</v>
      </c>
      <c r="P40" s="30">
        <f t="shared" si="6"/>
        <v>79.095461670041004</v>
      </c>
      <c r="Q40" s="38">
        <v>291708026819</v>
      </c>
      <c r="R40" s="94">
        <v>1053891110213</v>
      </c>
      <c r="S40" s="30">
        <f t="shared" si="1"/>
        <v>-762183083394</v>
      </c>
      <c r="T40" s="38">
        <v>1151833904006</v>
      </c>
      <c r="U40" s="38">
        <v>7101667028</v>
      </c>
      <c r="V40" s="32">
        <f t="shared" si="2"/>
        <v>162.19204582031554</v>
      </c>
      <c r="W40" s="1"/>
      <c r="X40" s="1"/>
      <c r="Y40" s="1"/>
      <c r="Z40" s="1"/>
    </row>
    <row r="41" spans="1:26" ht="15.75" customHeight="1">
      <c r="A41" s="1"/>
      <c r="B41" s="36" t="s">
        <v>52</v>
      </c>
      <c r="C41" s="38">
        <v>481542567</v>
      </c>
      <c r="D41" s="38">
        <v>276341289</v>
      </c>
      <c r="E41" s="38">
        <v>717149704</v>
      </c>
      <c r="F41" s="30">
        <f t="shared" si="8"/>
        <v>0.28613450839547444</v>
      </c>
      <c r="G41" s="38">
        <v>264136305</v>
      </c>
      <c r="H41" s="38">
        <v>410835586</v>
      </c>
      <c r="I41" s="38">
        <v>360</v>
      </c>
      <c r="J41" s="34">
        <f t="shared" si="3"/>
        <v>231.45285617979548</v>
      </c>
      <c r="K41" s="38">
        <v>20925951</v>
      </c>
      <c r="L41" s="6">
        <f>206457+118257132</f>
        <v>118463589</v>
      </c>
      <c r="M41" s="38">
        <v>500539668</v>
      </c>
      <c r="N41" s="34">
        <f t="shared" si="4"/>
        <v>85.20182268550991</v>
      </c>
      <c r="O41" s="34">
        <f t="shared" si="5"/>
        <v>54.778347811904894</v>
      </c>
      <c r="P41" s="30">
        <f t="shared" si="6"/>
        <v>261.87633105340052</v>
      </c>
      <c r="Q41" s="38">
        <v>220066270</v>
      </c>
      <c r="R41" s="94">
        <v>133334102</v>
      </c>
      <c r="S41" s="30">
        <f t="shared" si="1"/>
        <v>86732168</v>
      </c>
      <c r="T41" s="38">
        <v>315096071</v>
      </c>
      <c r="U41" s="38">
        <v>402053633</v>
      </c>
      <c r="V41" s="32">
        <f t="shared" si="2"/>
        <v>0.78371651226939665</v>
      </c>
      <c r="W41" s="1"/>
      <c r="X41" s="1"/>
      <c r="Y41" s="1"/>
      <c r="Z41" s="1"/>
    </row>
    <row r="42" spans="1:26" ht="15.75" customHeight="1">
      <c r="A42" s="1"/>
      <c r="B42" s="36" t="s">
        <v>53</v>
      </c>
      <c r="C42" s="38">
        <v>118743367562</v>
      </c>
      <c r="D42" s="38">
        <v>20420038273</v>
      </c>
      <c r="E42" s="38">
        <v>269351381344</v>
      </c>
      <c r="F42" s="30">
        <f t="shared" si="8"/>
        <v>0.36503740503720356</v>
      </c>
      <c r="G42" s="38">
        <v>26696938543</v>
      </c>
      <c r="H42" s="38">
        <v>133771586731</v>
      </c>
      <c r="I42" s="38">
        <v>360</v>
      </c>
      <c r="J42" s="34">
        <f t="shared" si="3"/>
        <v>71.845584778824986</v>
      </c>
      <c r="K42" s="38">
        <v>17342857177</v>
      </c>
      <c r="L42" s="6">
        <f>30820801406+15920762359</f>
        <v>46741563765</v>
      </c>
      <c r="M42" s="38">
        <v>176067561639</v>
      </c>
      <c r="N42" s="34">
        <f t="shared" si="4"/>
        <v>95.571056921326331</v>
      </c>
      <c r="O42" s="34">
        <f t="shared" si="5"/>
        <v>19.073217979008497</v>
      </c>
      <c r="P42" s="30">
        <f t="shared" si="6"/>
        <v>148.34342372114284</v>
      </c>
      <c r="Q42" s="38">
        <v>128538899975</v>
      </c>
      <c r="R42" s="94">
        <v>62277443498</v>
      </c>
      <c r="S42" s="30">
        <f t="shared" si="1"/>
        <v>66261456477</v>
      </c>
      <c r="T42" s="38">
        <v>26524918593</v>
      </c>
      <c r="U42" s="38">
        <v>242826462751</v>
      </c>
      <c r="V42" s="32">
        <f t="shared" si="2"/>
        <v>0.10923405255134519</v>
      </c>
      <c r="W42" s="1"/>
      <c r="X42" s="1"/>
      <c r="Y42" s="1"/>
      <c r="Z42" s="1"/>
    </row>
    <row r="43" spans="1:26" ht="15.75" customHeight="1">
      <c r="A43" s="39"/>
      <c r="B43" s="40" t="s">
        <v>54</v>
      </c>
      <c r="C43" s="41"/>
      <c r="D43" s="41"/>
      <c r="E43" s="41"/>
      <c r="F43" s="30" t="e">
        <f t="shared" si="8"/>
        <v>#DIV/0!</v>
      </c>
      <c r="G43" s="41"/>
      <c r="H43" s="41"/>
      <c r="I43" s="38">
        <v>360</v>
      </c>
      <c r="J43" s="34" t="e">
        <f t="shared" si="3"/>
        <v>#DIV/0!</v>
      </c>
      <c r="K43" s="41"/>
      <c r="L43" s="41"/>
      <c r="M43" s="41"/>
      <c r="N43" s="34" t="e">
        <f t="shared" si="4"/>
        <v>#DIV/0!</v>
      </c>
      <c r="O43" s="34" t="e">
        <f t="shared" si="5"/>
        <v>#DIV/0!</v>
      </c>
      <c r="P43" s="30" t="e">
        <f t="shared" si="6"/>
        <v>#DIV/0!</v>
      </c>
      <c r="Q43" s="41"/>
      <c r="R43" s="94"/>
      <c r="S43" s="30">
        <f t="shared" si="1"/>
        <v>0</v>
      </c>
      <c r="T43" s="41"/>
      <c r="U43" s="41"/>
      <c r="V43" s="32" t="e">
        <f t="shared" si="2"/>
        <v>#DIV/0!</v>
      </c>
      <c r="W43" s="39"/>
      <c r="X43" s="39"/>
      <c r="Y43" s="39"/>
      <c r="Z43" s="39"/>
    </row>
    <row r="44" spans="1:26" ht="15.75" customHeight="1">
      <c r="A44" s="1"/>
      <c r="B44" s="42" t="s">
        <v>55</v>
      </c>
      <c r="C44" s="38">
        <v>152606375</v>
      </c>
      <c r="D44" s="38">
        <v>51644818</v>
      </c>
      <c r="E44" s="38">
        <v>226913639</v>
      </c>
      <c r="F44" s="30">
        <f t="shared" si="8"/>
        <v>0.44493384110771766</v>
      </c>
      <c r="G44" s="6">
        <f>8353728+82343077</f>
        <v>90696805</v>
      </c>
      <c r="H44" s="38">
        <v>241865218</v>
      </c>
      <c r="I44" s="38">
        <v>360</v>
      </c>
      <c r="J44" s="34">
        <f t="shared" si="3"/>
        <v>134.99605304967827</v>
      </c>
      <c r="K44" s="6">
        <f>17549060+2494907</f>
        <v>20043967</v>
      </c>
      <c r="L44" s="6">
        <f>11603198+38304196</f>
        <v>49907394</v>
      </c>
      <c r="M44" s="38">
        <v>276111954</v>
      </c>
      <c r="N44" s="34">
        <f t="shared" si="4"/>
        <v>65.070206413446328</v>
      </c>
      <c r="O44" s="34">
        <f t="shared" si="5"/>
        <v>24.400613991508656</v>
      </c>
      <c r="P44" s="30">
        <f t="shared" si="6"/>
        <v>175.66564547161593</v>
      </c>
      <c r="Q44" s="38">
        <v>35165785</v>
      </c>
      <c r="R44" s="143">
        <v>66714857</v>
      </c>
      <c r="S44" s="30">
        <f t="shared" si="1"/>
        <v>-31549072</v>
      </c>
      <c r="T44" s="38">
        <v>65725372</v>
      </c>
      <c r="U44" s="38">
        <v>161188267</v>
      </c>
      <c r="V44" s="32">
        <f t="shared" si="2"/>
        <v>0.40775531137139159</v>
      </c>
      <c r="W44" s="1"/>
      <c r="X44" s="1"/>
      <c r="Y44" s="1"/>
      <c r="Z44" s="1"/>
    </row>
    <row r="45" spans="1:26" ht="15.75" customHeight="1">
      <c r="A45" s="1"/>
      <c r="B45" s="12" t="s">
        <v>56</v>
      </c>
      <c r="C45" s="6"/>
      <c r="D45" s="6"/>
      <c r="E45" s="6"/>
      <c r="F45" s="30" t="e">
        <f t="shared" si="8"/>
        <v>#DIV/0!</v>
      </c>
      <c r="G45" s="6"/>
      <c r="H45" s="6"/>
      <c r="I45" s="6"/>
      <c r="J45" s="34" t="e">
        <f t="shared" si="3"/>
        <v>#DIV/0!</v>
      </c>
      <c r="K45" s="6"/>
      <c r="L45" s="6"/>
      <c r="M45" s="6"/>
      <c r="N45" s="34" t="e">
        <f t="shared" si="4"/>
        <v>#DIV/0!</v>
      </c>
      <c r="O45" s="34" t="e">
        <f t="shared" si="5"/>
        <v>#DIV/0!</v>
      </c>
      <c r="P45" s="30" t="e">
        <f t="shared" si="6"/>
        <v>#DIV/0!</v>
      </c>
      <c r="Q45" s="6"/>
      <c r="R45" s="94"/>
      <c r="S45" s="30">
        <f t="shared" si="1"/>
        <v>0</v>
      </c>
      <c r="T45" s="6"/>
      <c r="U45" s="6"/>
      <c r="V45" s="32" t="e">
        <f t="shared" si="2"/>
        <v>#DIV/0!</v>
      </c>
      <c r="W45" s="1"/>
      <c r="X45" s="1"/>
      <c r="Y45" s="1"/>
      <c r="Z45" s="1"/>
    </row>
    <row r="46" spans="1:26" ht="15.75" customHeight="1">
      <c r="A46" s="1"/>
      <c r="B46" s="36" t="s">
        <v>57</v>
      </c>
      <c r="C46" s="38">
        <v>870146141</v>
      </c>
      <c r="D46" s="38">
        <v>770887902</v>
      </c>
      <c r="E46" s="38">
        <v>2615909190</v>
      </c>
      <c r="F46" s="30">
        <f t="shared" si="8"/>
        <v>3.7944069075272452E-2</v>
      </c>
      <c r="G46" s="38">
        <v>271560355</v>
      </c>
      <c r="H46" s="38">
        <v>1798077316</v>
      </c>
      <c r="I46" s="38">
        <v>360</v>
      </c>
      <c r="J46" s="34">
        <f t="shared" si="3"/>
        <v>54.370146895285117</v>
      </c>
      <c r="K46" s="6">
        <f>290530891+486269</f>
        <v>291017160</v>
      </c>
      <c r="L46" s="6">
        <f>355768829+379678</f>
        <v>356148507</v>
      </c>
      <c r="M46" s="38">
        <v>2047218639</v>
      </c>
      <c r="N46" s="34">
        <f t="shared" si="4"/>
        <v>62.628123873778392</v>
      </c>
      <c r="O46" s="34">
        <f t="shared" si="5"/>
        <v>9.4586119299817888</v>
      </c>
      <c r="P46" s="30">
        <f t="shared" si="6"/>
        <v>107.53965883908172</v>
      </c>
      <c r="Q46" s="38">
        <v>1622384162</v>
      </c>
      <c r="R46" s="94">
        <v>1867322855</v>
      </c>
      <c r="S46" s="30">
        <f t="shared" si="1"/>
        <v>-244938693</v>
      </c>
      <c r="T46" s="38">
        <v>1495874021</v>
      </c>
      <c r="U46" s="38">
        <v>1120035169</v>
      </c>
      <c r="V46" s="32">
        <f t="shared" si="2"/>
        <v>1.3355598666920074</v>
      </c>
      <c r="W46" s="1"/>
      <c r="X46" s="1"/>
      <c r="Y46" s="1"/>
      <c r="Z46" s="1"/>
    </row>
    <row r="47" spans="1:26" ht="15.75" customHeight="1">
      <c r="A47" s="1"/>
      <c r="B47" s="36" t="s">
        <v>58</v>
      </c>
      <c r="C47" s="38">
        <v>95591353886</v>
      </c>
      <c r="D47" s="38">
        <v>60079243013</v>
      </c>
      <c r="E47" s="38">
        <v>382461777452</v>
      </c>
      <c r="F47" s="30">
        <f t="shared" si="8"/>
        <v>9.2851398405313507E-2</v>
      </c>
      <c r="G47" s="38">
        <v>40552730537</v>
      </c>
      <c r="H47" s="38">
        <v>286217084133</v>
      </c>
      <c r="I47" s="38">
        <v>360</v>
      </c>
      <c r="J47" s="34">
        <f t="shared" si="3"/>
        <v>51.006679204851771</v>
      </c>
      <c r="K47" s="6">
        <f>15654018702+8153899267</f>
        <v>23807917969</v>
      </c>
      <c r="L47" s="38">
        <v>42302374417</v>
      </c>
      <c r="M47" s="38">
        <v>347205836259</v>
      </c>
      <c r="N47" s="34">
        <f t="shared" si="4"/>
        <v>43.861171673277852</v>
      </c>
      <c r="O47" s="34">
        <f t="shared" si="5"/>
        <v>6.214479758577264</v>
      </c>
      <c r="P47" s="30">
        <f t="shared" si="6"/>
        <v>88.653371119552347</v>
      </c>
      <c r="Q47" s="38">
        <v>274228874906</v>
      </c>
      <c r="R47" s="94">
        <v>227500760306</v>
      </c>
      <c r="S47" s="30">
        <f t="shared" si="1"/>
        <v>46728114600</v>
      </c>
      <c r="T47" s="38">
        <v>116726057995</v>
      </c>
      <c r="U47" s="38">
        <v>265735719457</v>
      </c>
      <c r="V47" s="32">
        <f t="shared" si="2"/>
        <v>0.43925618367570646</v>
      </c>
      <c r="W47" s="1"/>
      <c r="X47" s="1"/>
      <c r="Y47" s="1"/>
      <c r="Z47" s="1"/>
    </row>
    <row r="48" spans="1:26" ht="15.75" customHeight="1">
      <c r="A48" s="1"/>
      <c r="B48" s="36" t="s">
        <v>59</v>
      </c>
      <c r="C48" s="38">
        <v>777316455</v>
      </c>
      <c r="D48" s="38">
        <v>560277480</v>
      </c>
      <c r="E48" s="38">
        <v>2088696909</v>
      </c>
      <c r="F48" s="30">
        <f t="shared" si="8"/>
        <v>0.10391118695335801</v>
      </c>
      <c r="G48" s="38">
        <v>234449520</v>
      </c>
      <c r="H48" s="38">
        <v>1149024674</v>
      </c>
      <c r="I48" s="38">
        <v>360</v>
      </c>
      <c r="J48" s="34">
        <f t="shared" si="3"/>
        <v>73.455191267720338</v>
      </c>
      <c r="K48" s="38">
        <v>179589050</v>
      </c>
      <c r="L48" s="38">
        <v>298868206</v>
      </c>
      <c r="M48" s="38">
        <v>1364849405</v>
      </c>
      <c r="N48" s="34">
        <f t="shared" si="4"/>
        <v>78.831081118432976</v>
      </c>
      <c r="O48" s="34">
        <f t="shared" si="5"/>
        <v>16.084867059432423</v>
      </c>
      <c r="P48" s="30">
        <f t="shared" si="6"/>
        <v>136.2014053267209</v>
      </c>
      <c r="Q48" s="38">
        <v>1196816998</v>
      </c>
      <c r="R48" s="94">
        <v>1236754510</v>
      </c>
      <c r="S48" s="30">
        <f t="shared" si="1"/>
        <v>-39937512</v>
      </c>
      <c r="T48" s="38">
        <v>1060343634</v>
      </c>
      <c r="U48" s="38">
        <v>1028353275</v>
      </c>
      <c r="V48" s="32">
        <f t="shared" si="2"/>
        <v>1.0311083358002628</v>
      </c>
      <c r="W48" s="1"/>
      <c r="X48" s="1"/>
      <c r="Y48" s="1"/>
      <c r="Z48" s="1"/>
    </row>
    <row r="49" spans="1:26" ht="15.75" customHeight="1">
      <c r="A49" s="1"/>
      <c r="B49" s="36" t="s">
        <v>60</v>
      </c>
      <c r="C49" s="38">
        <v>316504735608</v>
      </c>
      <c r="D49" s="38">
        <v>62350881953</v>
      </c>
      <c r="E49" s="38">
        <v>439465673296</v>
      </c>
      <c r="F49" s="30">
        <f t="shared" si="8"/>
        <v>0.57832469996767166</v>
      </c>
      <c r="G49" s="38">
        <v>111926303398</v>
      </c>
      <c r="H49" s="38">
        <v>651717629066</v>
      </c>
      <c r="I49" s="38">
        <v>360</v>
      </c>
      <c r="J49" s="34">
        <f t="shared" si="3"/>
        <v>61.826575538590269</v>
      </c>
      <c r="K49" s="38">
        <v>46385920164</v>
      </c>
      <c r="L49" s="38">
        <v>136984654250</v>
      </c>
      <c r="M49" s="38">
        <v>792794834768</v>
      </c>
      <c r="N49" s="34">
        <f t="shared" si="4"/>
        <v>62.203325964442207</v>
      </c>
      <c r="O49" s="34">
        <f t="shared" si="5"/>
        <v>10.682829531922609</v>
      </c>
      <c r="P49" s="30">
        <f t="shared" si="6"/>
        <v>113.34707197110987</v>
      </c>
      <c r="Q49" s="38">
        <v>70591030568</v>
      </c>
      <c r="R49" s="94">
        <v>74401083944</v>
      </c>
      <c r="S49" s="30">
        <f t="shared" si="1"/>
        <v>-3810053376</v>
      </c>
      <c r="T49" s="38">
        <v>65716637766</v>
      </c>
      <c r="U49" s="38">
        <v>373749035530</v>
      </c>
      <c r="V49" s="32">
        <f t="shared" si="2"/>
        <v>0.17583092267464881</v>
      </c>
      <c r="W49" s="1"/>
      <c r="X49" s="1"/>
      <c r="Y49" s="1"/>
      <c r="Z49" s="1"/>
    </row>
    <row r="50" spans="1:26" ht="15.75" customHeight="1">
      <c r="A50" s="1"/>
      <c r="B50" s="36" t="s">
        <v>61</v>
      </c>
      <c r="C50" s="38">
        <v>1261952056094</v>
      </c>
      <c r="D50" s="38">
        <v>334534009282</v>
      </c>
      <c r="E50" s="38">
        <v>2276031922082</v>
      </c>
      <c r="F50" s="30">
        <f t="shared" si="8"/>
        <v>0.40747145846866878</v>
      </c>
      <c r="G50" s="6">
        <f>280745719112+206132270551</f>
        <v>486877989663</v>
      </c>
      <c r="H50" s="38">
        <v>729267950819</v>
      </c>
      <c r="I50" s="38">
        <v>360</v>
      </c>
      <c r="J50" s="34">
        <f t="shared" si="3"/>
        <v>240.34523398681824</v>
      </c>
      <c r="K50" s="38">
        <v>107534635335</v>
      </c>
      <c r="L50" s="6">
        <f>160432854658+26097938892</f>
        <v>186530793550</v>
      </c>
      <c r="M50" s="38">
        <v>1135296191546</v>
      </c>
      <c r="N50" s="34">
        <f t="shared" si="4"/>
        <v>59.148516640892097</v>
      </c>
      <c r="O50" s="34">
        <f t="shared" si="5"/>
        <v>39.489066866745624</v>
      </c>
      <c r="P50" s="30">
        <f t="shared" si="6"/>
        <v>260.00468376096472</v>
      </c>
      <c r="Q50" s="38">
        <v>699965839974</v>
      </c>
      <c r="R50" s="94">
        <v>777471622498</v>
      </c>
      <c r="S50" s="30">
        <f t="shared" si="1"/>
        <v>-77505782524</v>
      </c>
      <c r="T50" s="38">
        <v>1050386739011</v>
      </c>
      <c r="U50" s="38">
        <v>1225645183071</v>
      </c>
      <c r="V50" s="32">
        <f t="shared" si="2"/>
        <v>0.85700719385942581</v>
      </c>
      <c r="W50" s="1"/>
      <c r="X50" s="1"/>
      <c r="Y50" s="1"/>
      <c r="Z50" s="1"/>
    </row>
    <row r="51" spans="1:26" ht="15.75" customHeight="1">
      <c r="A51" s="1"/>
      <c r="B51" s="36" t="s">
        <v>62</v>
      </c>
      <c r="C51" s="38">
        <v>91142117</v>
      </c>
      <c r="D51" s="38">
        <v>95025914</v>
      </c>
      <c r="E51" s="38">
        <v>282894404</v>
      </c>
      <c r="F51" s="30">
        <f t="shared" si="8"/>
        <v>-1.3728786943413699E-2</v>
      </c>
      <c r="G51" s="38">
        <v>22905204</v>
      </c>
      <c r="H51" s="38">
        <v>151913282</v>
      </c>
      <c r="I51" s="38">
        <v>360</v>
      </c>
      <c r="J51" s="34">
        <f t="shared" si="3"/>
        <v>54.28013489959357</v>
      </c>
      <c r="K51" s="38">
        <v>9852110</v>
      </c>
      <c r="L51" s="6">
        <f>41916157+2498635</f>
        <v>44414792</v>
      </c>
      <c r="M51" s="38">
        <v>195626757</v>
      </c>
      <c r="N51" s="34">
        <f t="shared" si="4"/>
        <v>81.733835213554144</v>
      </c>
      <c r="O51" s="34">
        <f t="shared" si="5"/>
        <v>12.323676670146861</v>
      </c>
      <c r="P51" s="30">
        <f t="shared" si="6"/>
        <v>123.69029344300084</v>
      </c>
      <c r="Q51" s="38">
        <v>188858978</v>
      </c>
      <c r="R51" s="94">
        <v>198701016</v>
      </c>
      <c r="S51" s="30">
        <f t="shared" si="1"/>
        <v>-9842038</v>
      </c>
      <c r="T51" s="38">
        <v>126938628</v>
      </c>
      <c r="U51" s="38">
        <v>155955776</v>
      </c>
      <c r="V51" s="32">
        <f t="shared" si="2"/>
        <v>0.8139398953713648</v>
      </c>
      <c r="W51" s="1"/>
      <c r="X51" s="1"/>
      <c r="Y51" s="1"/>
      <c r="Z51" s="1"/>
    </row>
    <row r="52" spans="1:26" ht="15.75" customHeight="1">
      <c r="A52" s="1"/>
      <c r="B52" s="36" t="s">
        <v>63</v>
      </c>
      <c r="C52" s="38">
        <v>87547</v>
      </c>
      <c r="D52" s="38">
        <v>87257</v>
      </c>
      <c r="E52" s="38">
        <v>204709</v>
      </c>
      <c r="F52" s="30">
        <f t="shared" si="8"/>
        <v>1.4166450913247585E-3</v>
      </c>
      <c r="G52" s="38">
        <v>52079</v>
      </c>
      <c r="H52" s="38">
        <v>528326</v>
      </c>
      <c r="I52" s="38">
        <v>360</v>
      </c>
      <c r="J52" s="34">
        <f t="shared" si="3"/>
        <v>35.48649886623032</v>
      </c>
      <c r="K52" s="6">
        <f>940+56932</f>
        <v>57872</v>
      </c>
      <c r="L52" s="6">
        <f>17083+10760</f>
        <v>27843</v>
      </c>
      <c r="M52" s="38">
        <v>441825</v>
      </c>
      <c r="N52" s="34">
        <f t="shared" si="4"/>
        <v>22.686538787981668</v>
      </c>
      <c r="O52" s="34">
        <f t="shared" si="5"/>
        <v>2.2362939804955602</v>
      </c>
      <c r="P52" s="30">
        <f t="shared" si="6"/>
        <v>55.936743673716428</v>
      </c>
      <c r="Q52" s="38">
        <v>106458</v>
      </c>
      <c r="R52" s="94">
        <v>128535</v>
      </c>
      <c r="S52" s="30">
        <f t="shared" si="1"/>
        <v>-22077</v>
      </c>
      <c r="T52" s="38">
        <v>106765</v>
      </c>
      <c r="U52" s="38">
        <v>97944</v>
      </c>
      <c r="V52" s="32">
        <f t="shared" si="2"/>
        <v>1.0900616678918567</v>
      </c>
      <c r="W52" s="1"/>
      <c r="X52" s="1"/>
      <c r="Y52" s="1"/>
      <c r="Z52" s="1"/>
    </row>
    <row r="53" spans="1:26" ht="15.75" customHeight="1">
      <c r="A53" s="1"/>
      <c r="B53" s="36" t="s">
        <v>64</v>
      </c>
      <c r="C53" s="38">
        <v>1179999891768</v>
      </c>
      <c r="D53" s="38">
        <v>909779313844</v>
      </c>
      <c r="E53" s="38">
        <v>329596224286</v>
      </c>
      <c r="F53" s="30">
        <f t="shared" si="8"/>
        <v>0.81985337820351345</v>
      </c>
      <c r="G53" s="38">
        <v>621015089276</v>
      </c>
      <c r="H53" s="38">
        <v>2052139045365</v>
      </c>
      <c r="I53" s="38">
        <v>360</v>
      </c>
      <c r="J53" s="34">
        <f t="shared" si="3"/>
        <v>108.94263361164981</v>
      </c>
      <c r="K53" s="38">
        <v>365124447698</v>
      </c>
      <c r="L53" s="6">
        <f>397449262972+11423702775</f>
        <v>408872965747</v>
      </c>
      <c r="M53" s="38">
        <v>2249418846803</v>
      </c>
      <c r="N53" s="34">
        <f t="shared" si="4"/>
        <v>65.436576153045365</v>
      </c>
      <c r="O53" s="34">
        <f t="shared" si="5"/>
        <v>19.802313724005671</v>
      </c>
      <c r="P53" s="30">
        <f t="shared" si="6"/>
        <v>154.57689604068952</v>
      </c>
      <c r="Q53" s="38">
        <v>2025462701661</v>
      </c>
      <c r="R53" s="94">
        <v>2219592781923</v>
      </c>
      <c r="S53" s="30">
        <f t="shared" si="1"/>
        <v>-194130080262</v>
      </c>
      <c r="T53" s="38">
        <v>1358241040272</v>
      </c>
      <c r="U53" s="38">
        <v>1932355184014</v>
      </c>
      <c r="V53" s="32">
        <f t="shared" si="2"/>
        <v>0.70289409085268839</v>
      </c>
      <c r="W53" s="1"/>
      <c r="X53" s="1"/>
      <c r="Y53" s="1"/>
      <c r="Z53" s="1"/>
    </row>
    <row r="54" spans="1:26" ht="15.75" customHeight="1">
      <c r="A54" s="1"/>
      <c r="B54" s="36" t="s">
        <v>65</v>
      </c>
      <c r="C54" s="38">
        <v>325494162443</v>
      </c>
      <c r="D54" s="38">
        <v>111360300869</v>
      </c>
      <c r="E54" s="38">
        <v>881673021959</v>
      </c>
      <c r="F54" s="30">
        <f t="shared" si="8"/>
        <v>0.24287219438586582</v>
      </c>
      <c r="G54" s="38">
        <v>140601539006</v>
      </c>
      <c r="H54" s="38">
        <v>494725404379</v>
      </c>
      <c r="I54" s="38">
        <v>360</v>
      </c>
      <c r="J54" s="34">
        <f t="shared" si="3"/>
        <v>102.31242138393118</v>
      </c>
      <c r="K54" s="6">
        <f>4856563996+75969283141</f>
        <v>80825847137</v>
      </c>
      <c r="L54" s="38">
        <v>98875236460</v>
      </c>
      <c r="M54" s="38">
        <v>569419992907</v>
      </c>
      <c r="N54" s="34">
        <f t="shared" si="4"/>
        <v>62.51112635487236</v>
      </c>
      <c r="O54" s="34">
        <f t="shared" si="5"/>
        <v>17.765735280010741</v>
      </c>
      <c r="P54" s="30">
        <f t="shared" si="6"/>
        <v>147.0578124587928</v>
      </c>
      <c r="Q54" s="38">
        <v>546284875130</v>
      </c>
      <c r="R54" s="94">
        <v>127948141904</v>
      </c>
      <c r="S54" s="30">
        <f t="shared" si="1"/>
        <v>418336733226</v>
      </c>
      <c r="T54" s="38">
        <v>129777537129</v>
      </c>
      <c r="U54" s="38">
        <v>751895484830</v>
      </c>
      <c r="V54" s="32">
        <f t="shared" si="2"/>
        <v>0.17260050066445351</v>
      </c>
      <c r="W54" s="1"/>
      <c r="X54" s="1"/>
      <c r="Y54" s="1"/>
      <c r="Z54" s="1"/>
    </row>
    <row r="55" spans="1:26" ht="15.75" customHeight="1">
      <c r="A55" s="1"/>
      <c r="B55" s="36" t="s">
        <v>66</v>
      </c>
      <c r="C55" s="38">
        <v>118108607817</v>
      </c>
      <c r="D55" s="38">
        <v>121306029590</v>
      </c>
      <c r="E55" s="38">
        <v>280257664992</v>
      </c>
      <c r="F55" s="30">
        <f t="shared" si="8"/>
        <v>-1.1408864671341891E-2</v>
      </c>
      <c r="G55" s="38">
        <v>61770345901</v>
      </c>
      <c r="H55" s="38">
        <v>258234380699</v>
      </c>
      <c r="I55" s="38">
        <v>360</v>
      </c>
      <c r="J55" s="34">
        <f t="shared" si="3"/>
        <v>86.112950816878239</v>
      </c>
      <c r="K55" s="6">
        <f>1698300000+8255882546</f>
        <v>9954182546</v>
      </c>
      <c r="L55" s="38">
        <v>46690513376</v>
      </c>
      <c r="M55" s="38">
        <v>278331887681</v>
      </c>
      <c r="N55" s="34">
        <f t="shared" si="4"/>
        <v>60.39043875067793</v>
      </c>
      <c r="O55" s="34">
        <f t="shared" si="5"/>
        <v>14.445552449852295</v>
      </c>
      <c r="P55" s="30">
        <f t="shared" si="6"/>
        <v>132.05783711770385</v>
      </c>
      <c r="Q55" s="38">
        <v>153609623357</v>
      </c>
      <c r="R55" s="94">
        <v>174967745195</v>
      </c>
      <c r="S55" s="30">
        <f t="shared" si="1"/>
        <v>-21358121838</v>
      </c>
      <c r="T55" s="38">
        <v>138256225581</v>
      </c>
      <c r="U55" s="38">
        <v>142001439411</v>
      </c>
      <c r="V55" s="32">
        <f t="shared" si="2"/>
        <v>0.97362552206840602</v>
      </c>
      <c r="W55" s="1"/>
      <c r="X55" s="1"/>
      <c r="Y55" s="1"/>
      <c r="Z55" s="1"/>
    </row>
    <row r="56" spans="1:26" ht="15.75" customHeight="1">
      <c r="A56" s="1"/>
      <c r="B56" s="9" t="s">
        <v>67</v>
      </c>
      <c r="C56" s="6"/>
      <c r="D56" s="6"/>
      <c r="E56" s="6"/>
      <c r="F56" s="30" t="e">
        <f t="shared" si="8"/>
        <v>#DIV/0!</v>
      </c>
      <c r="G56" s="6"/>
      <c r="H56" s="6"/>
      <c r="I56" s="6"/>
      <c r="J56" s="34" t="e">
        <f t="shared" si="3"/>
        <v>#DIV/0!</v>
      </c>
      <c r="K56" s="6"/>
      <c r="L56" s="6"/>
      <c r="M56" s="6"/>
      <c r="N56" s="34" t="e">
        <f t="shared" si="4"/>
        <v>#DIV/0!</v>
      </c>
      <c r="O56" s="34" t="e">
        <f t="shared" si="5"/>
        <v>#DIV/0!</v>
      </c>
      <c r="P56" s="30" t="e">
        <f t="shared" si="6"/>
        <v>#DIV/0!</v>
      </c>
      <c r="Q56" s="6"/>
      <c r="R56" s="94"/>
      <c r="S56" s="30">
        <f t="shared" si="1"/>
        <v>0</v>
      </c>
      <c r="T56" s="6"/>
      <c r="U56" s="6"/>
      <c r="V56" s="32" t="e">
        <f t="shared" si="2"/>
        <v>#DIV/0!</v>
      </c>
      <c r="W56" s="1"/>
      <c r="X56" s="1"/>
      <c r="Y56" s="1"/>
      <c r="Z56" s="1"/>
    </row>
    <row r="57" spans="1:26" ht="15.75" customHeight="1">
      <c r="A57" s="1"/>
      <c r="B57" s="36" t="s">
        <v>68</v>
      </c>
      <c r="C57" s="38">
        <v>11817645</v>
      </c>
      <c r="D57" s="38">
        <v>5550257</v>
      </c>
      <c r="E57" s="38">
        <v>24204994</v>
      </c>
      <c r="F57" s="30">
        <f t="shared" si="8"/>
        <v>0.25892954156485226</v>
      </c>
      <c r="G57" s="6">
        <f>1227729+5193252</f>
        <v>6420981</v>
      </c>
      <c r="H57" s="38">
        <v>31743222</v>
      </c>
      <c r="I57" s="38">
        <v>360</v>
      </c>
      <c r="J57" s="34">
        <f t="shared" si="3"/>
        <v>72.820369652456833</v>
      </c>
      <c r="K57" s="6">
        <f>1114310+152636</f>
        <v>1266946</v>
      </c>
      <c r="L57" s="6">
        <f>2187133+128882</f>
        <v>2316015</v>
      </c>
      <c r="M57" s="38">
        <v>38256857</v>
      </c>
      <c r="N57" s="34">
        <f t="shared" si="4"/>
        <v>21.793881290352736</v>
      </c>
      <c r="O57" s="34">
        <f t="shared" si="5"/>
        <v>4.4084402547923585</v>
      </c>
      <c r="P57" s="30">
        <f t="shared" si="6"/>
        <v>90.205810688017223</v>
      </c>
      <c r="Q57" s="38">
        <v>11233847</v>
      </c>
      <c r="R57" s="94">
        <v>12671621</v>
      </c>
      <c r="S57" s="30">
        <f t="shared" si="1"/>
        <v>-1437774</v>
      </c>
      <c r="T57" s="38">
        <v>10047751</v>
      </c>
      <c r="U57" s="38">
        <v>14157243</v>
      </c>
      <c r="V57" s="32">
        <f t="shared" si="2"/>
        <v>0.70972512091513862</v>
      </c>
      <c r="W57" s="1"/>
      <c r="X57" s="1"/>
      <c r="Y57" s="1"/>
      <c r="Z57" s="1"/>
    </row>
    <row r="58" spans="1:26" ht="15.75" customHeight="1">
      <c r="A58" s="1"/>
      <c r="B58" s="36" t="s">
        <v>69</v>
      </c>
      <c r="C58" s="38">
        <v>10755503</v>
      </c>
      <c r="D58" s="38">
        <v>5193549</v>
      </c>
      <c r="E58" s="38">
        <v>19251026</v>
      </c>
      <c r="F58" s="30">
        <f t="shared" si="8"/>
        <v>0.28891727640905995</v>
      </c>
      <c r="G58" s="38">
        <v>5500017</v>
      </c>
      <c r="H58" s="38">
        <v>21584412</v>
      </c>
      <c r="I58" s="38">
        <v>360</v>
      </c>
      <c r="J58" s="34">
        <f t="shared" si="3"/>
        <v>91.733150757129735</v>
      </c>
      <c r="K58" s="6">
        <f>1143947+1173023</f>
        <v>2316970</v>
      </c>
      <c r="L58" s="6">
        <f>65595+1146133</f>
        <v>1211728</v>
      </c>
      <c r="M58" s="38">
        <v>27063310</v>
      </c>
      <c r="N58" s="34">
        <f t="shared" si="4"/>
        <v>16.118578252253698</v>
      </c>
      <c r="O58" s="34">
        <f t="shared" si="5"/>
        <v>4.1072443577905027</v>
      </c>
      <c r="P58" s="30">
        <f t="shared" si="6"/>
        <v>103.74448465159293</v>
      </c>
      <c r="Q58" s="38">
        <v>7512091</v>
      </c>
      <c r="R58" s="94">
        <v>7555312</v>
      </c>
      <c r="S58" s="30">
        <f t="shared" si="1"/>
        <v>-43221</v>
      </c>
      <c r="T58" s="38">
        <v>9878062</v>
      </c>
      <c r="U58" s="38">
        <v>9372964</v>
      </c>
      <c r="V58" s="32">
        <f t="shared" si="2"/>
        <v>1.0538888232153671</v>
      </c>
      <c r="W58" s="1"/>
      <c r="X58" s="1"/>
      <c r="Y58" s="1"/>
      <c r="Z58" s="1"/>
    </row>
    <row r="59" spans="1:26" ht="15.75" customHeight="1">
      <c r="A59" s="1"/>
      <c r="B59" s="36" t="s">
        <v>70</v>
      </c>
      <c r="C59" s="38">
        <v>1671749560</v>
      </c>
      <c r="D59" s="6"/>
      <c r="E59" s="6"/>
      <c r="F59" s="30" t="e">
        <f t="shared" si="8"/>
        <v>#DIV/0!</v>
      </c>
      <c r="G59" s="6">
        <f>240447645+623565099</f>
        <v>864012744</v>
      </c>
      <c r="H59" s="38">
        <v>4352648763</v>
      </c>
      <c r="I59" s="38">
        <v>360</v>
      </c>
      <c r="J59" s="34">
        <f t="shared" si="3"/>
        <v>71.460989566641956</v>
      </c>
      <c r="K59" s="6">
        <f>185899265+30951639</f>
        <v>216850904</v>
      </c>
      <c r="L59" s="6">
        <f>348005966+70442011</f>
        <v>418447977</v>
      </c>
      <c r="M59" s="38">
        <v>5237701149</v>
      </c>
      <c r="N59" s="34">
        <f t="shared" si="4"/>
        <v>28.760952073174497</v>
      </c>
      <c r="O59" s="34">
        <f t="shared" si="5"/>
        <v>5.7091280445217008</v>
      </c>
      <c r="P59" s="30">
        <f t="shared" si="6"/>
        <v>94.512813595294745</v>
      </c>
      <c r="Q59" s="38">
        <v>1956951734</v>
      </c>
      <c r="R59" s="94">
        <v>1934140143</v>
      </c>
      <c r="S59" s="30">
        <f t="shared" si="1"/>
        <v>22811591</v>
      </c>
      <c r="T59" s="38">
        <v>2082189069</v>
      </c>
      <c r="U59" s="38">
        <v>1744673771</v>
      </c>
      <c r="V59" s="32">
        <f t="shared" si="2"/>
        <v>1.1934546753726603</v>
      </c>
      <c r="W59" s="1"/>
      <c r="X59" s="1"/>
      <c r="Y59" s="1"/>
      <c r="Z59" s="1"/>
    </row>
    <row r="60" spans="1:26" ht="15.75" customHeight="1">
      <c r="A60" s="1"/>
      <c r="B60" s="36" t="s">
        <v>71</v>
      </c>
      <c r="C60" s="38">
        <v>1498157</v>
      </c>
      <c r="D60" s="38">
        <v>1075375</v>
      </c>
      <c r="E60" s="38">
        <v>2567211</v>
      </c>
      <c r="F60" s="30">
        <f t="shared" si="8"/>
        <v>0.16468533361690957</v>
      </c>
      <c r="G60" s="38">
        <v>446440</v>
      </c>
      <c r="H60" s="38">
        <v>1985294</v>
      </c>
      <c r="I60" s="38">
        <v>360</v>
      </c>
      <c r="J60" s="34">
        <f t="shared" si="3"/>
        <v>80.954458130634563</v>
      </c>
      <c r="K60" s="38">
        <v>130754</v>
      </c>
      <c r="L60" s="6">
        <f>283513+148</f>
        <v>283661</v>
      </c>
      <c r="M60" s="38">
        <v>2427199</v>
      </c>
      <c r="N60" s="34">
        <f t="shared" si="4"/>
        <v>42.072347590782627</v>
      </c>
      <c r="O60" s="34">
        <f t="shared" si="5"/>
        <v>9.4609558374875444</v>
      </c>
      <c r="P60" s="30">
        <f t="shared" si="6"/>
        <v>113.56584988392964</v>
      </c>
      <c r="Q60" s="38">
        <v>835516</v>
      </c>
      <c r="R60" s="146">
        <v>1101607237841</v>
      </c>
      <c r="S60" s="30">
        <f t="shared" si="1"/>
        <v>-1101606402325</v>
      </c>
      <c r="T60" s="38">
        <v>1324380</v>
      </c>
      <c r="U60" s="38">
        <v>1142831</v>
      </c>
      <c r="V60" s="32">
        <f t="shared" si="2"/>
        <v>1.1588590088998285</v>
      </c>
      <c r="W60" s="1"/>
      <c r="X60" s="1"/>
      <c r="Y60" s="1"/>
      <c r="Z60" s="1"/>
    </row>
    <row r="61" spans="1:26" ht="15.75" customHeight="1">
      <c r="A61" s="1"/>
      <c r="B61" s="9" t="s">
        <v>72</v>
      </c>
      <c r="C61" s="6"/>
      <c r="D61" s="6"/>
      <c r="E61" s="6"/>
      <c r="F61" s="30" t="e">
        <f t="shared" si="8"/>
        <v>#DIV/0!</v>
      </c>
      <c r="G61" s="6"/>
      <c r="H61" s="6"/>
      <c r="I61" s="6"/>
      <c r="J61" s="34" t="e">
        <f t="shared" si="3"/>
        <v>#DIV/0!</v>
      </c>
      <c r="K61" s="6"/>
      <c r="L61" s="6"/>
      <c r="M61" s="6"/>
      <c r="N61" s="34" t="e">
        <f t="shared" si="4"/>
        <v>#DIV/0!</v>
      </c>
      <c r="O61" s="34" t="e">
        <f t="shared" si="5"/>
        <v>#DIV/0!</v>
      </c>
      <c r="P61" s="30" t="e">
        <f t="shared" si="6"/>
        <v>#DIV/0!</v>
      </c>
      <c r="Q61" s="6"/>
      <c r="R61" s="94"/>
      <c r="S61" s="30">
        <f t="shared" si="1"/>
        <v>0</v>
      </c>
      <c r="T61" s="6"/>
      <c r="U61" s="6"/>
      <c r="V61" s="32" t="e">
        <f t="shared" si="2"/>
        <v>#DIV/0!</v>
      </c>
      <c r="W61" s="1"/>
      <c r="X61" s="1"/>
      <c r="Y61" s="1"/>
      <c r="Z61" s="1"/>
    </row>
    <row r="62" spans="1:26" ht="15.75" customHeight="1">
      <c r="A62" s="1"/>
      <c r="B62" s="36" t="s">
        <v>73</v>
      </c>
      <c r="C62" s="38">
        <v>34467170</v>
      </c>
      <c r="D62" s="38">
        <v>39040191</v>
      </c>
      <c r="E62" s="38">
        <v>91571846</v>
      </c>
      <c r="F62" s="30">
        <f t="shared" si="8"/>
        <v>-4.9939159247701523E-2</v>
      </c>
      <c r="G62" s="38">
        <v>23558136</v>
      </c>
      <c r="H62" s="38">
        <v>60667093</v>
      </c>
      <c r="I62" s="38">
        <v>360</v>
      </c>
      <c r="J62" s="34">
        <f t="shared" si="3"/>
        <v>139.79454990533335</v>
      </c>
      <c r="K62" s="6">
        <f>15541957+49146</f>
        <v>15591103</v>
      </c>
      <c r="L62" s="38">
        <v>3492145</v>
      </c>
      <c r="M62" s="38">
        <v>73717004</v>
      </c>
      <c r="N62" s="34">
        <f t="shared" si="4"/>
        <v>17.054032743924317</v>
      </c>
      <c r="O62" s="34">
        <f t="shared" si="5"/>
        <v>6.6223911986325481</v>
      </c>
      <c r="P62" s="30">
        <f t="shared" si="6"/>
        <v>150.22619145062512</v>
      </c>
      <c r="Q62" s="38">
        <v>40202223</v>
      </c>
      <c r="R62" s="94">
        <v>51742276</v>
      </c>
      <c r="S62" s="30">
        <f t="shared" si="1"/>
        <v>-11540053</v>
      </c>
      <c r="T62" s="38">
        <v>107014127</v>
      </c>
      <c r="U62" s="38">
        <v>15442281</v>
      </c>
      <c r="V62" s="32">
        <f t="shared" si="2"/>
        <v>6.9299429922302282</v>
      </c>
      <c r="W62" s="1"/>
      <c r="X62" s="1"/>
      <c r="Y62" s="1"/>
      <c r="Z62" s="1"/>
    </row>
    <row r="63" spans="1:26" ht="15.75" customHeight="1">
      <c r="A63" s="1"/>
      <c r="B63" s="42" t="s">
        <v>74</v>
      </c>
      <c r="C63" s="38">
        <v>558602090736</v>
      </c>
      <c r="D63" s="38">
        <v>496551611099</v>
      </c>
      <c r="E63" s="38">
        <v>815997477795</v>
      </c>
      <c r="F63" s="30">
        <f t="shared" si="8"/>
        <v>7.6042489499690225E-2</v>
      </c>
      <c r="G63" s="38">
        <v>376801257461</v>
      </c>
      <c r="H63" s="38">
        <v>689484158139</v>
      </c>
      <c r="I63" s="38">
        <v>360</v>
      </c>
      <c r="J63" s="34">
        <f t="shared" si="3"/>
        <v>196.73904191227737</v>
      </c>
      <c r="K63" s="6">
        <f>74039088203+28016902690</f>
        <v>102055990893</v>
      </c>
      <c r="L63" s="38">
        <v>28879969062</v>
      </c>
      <c r="M63" s="38">
        <v>843528979435</v>
      </c>
      <c r="N63" s="34">
        <f t="shared" si="4"/>
        <v>12.325348761916658</v>
      </c>
      <c r="O63" s="34">
        <f t="shared" si="5"/>
        <v>6.7357702962615482</v>
      </c>
      <c r="P63" s="30">
        <f t="shared" si="6"/>
        <v>202.32862037793251</v>
      </c>
      <c r="Q63" s="38">
        <v>241725872258</v>
      </c>
      <c r="R63" s="94">
        <v>242813093486</v>
      </c>
      <c r="S63" s="30">
        <f t="shared" si="1"/>
        <v>-1087221228</v>
      </c>
      <c r="T63" s="38">
        <v>689189375810</v>
      </c>
      <c r="U63" s="38">
        <v>126808101985</v>
      </c>
      <c r="V63" s="32">
        <f t="shared" si="2"/>
        <v>5.4349001761064404</v>
      </c>
      <c r="W63" s="1"/>
      <c r="X63" s="1"/>
      <c r="Y63" s="1"/>
      <c r="Z63" s="1"/>
    </row>
    <row r="64" spans="1:26" ht="15.75" customHeight="1">
      <c r="A64" s="1"/>
      <c r="B64" s="13" t="s">
        <v>75</v>
      </c>
      <c r="C64" s="6"/>
      <c r="D64" s="6"/>
      <c r="E64" s="6"/>
      <c r="F64" s="30" t="e">
        <f t="shared" si="8"/>
        <v>#DIV/0!</v>
      </c>
      <c r="G64" s="6"/>
      <c r="H64" s="6"/>
      <c r="I64" s="6"/>
      <c r="J64" s="34" t="e">
        <f t="shared" si="3"/>
        <v>#DIV/0!</v>
      </c>
      <c r="K64" s="6"/>
      <c r="L64" s="6"/>
      <c r="M64" s="6"/>
      <c r="N64" s="34" t="e">
        <f t="shared" si="4"/>
        <v>#DIV/0!</v>
      </c>
      <c r="O64" s="34" t="e">
        <f t="shared" si="5"/>
        <v>#DIV/0!</v>
      </c>
      <c r="P64" s="30" t="e">
        <f t="shared" si="6"/>
        <v>#DIV/0!</v>
      </c>
      <c r="Q64" s="6"/>
      <c r="R64" s="94"/>
      <c r="S64" s="30">
        <f t="shared" si="1"/>
        <v>0</v>
      </c>
      <c r="T64" s="6"/>
      <c r="U64" s="6"/>
      <c r="V64" s="32" t="e">
        <f t="shared" si="2"/>
        <v>#DIV/0!</v>
      </c>
      <c r="W64" s="1"/>
      <c r="X64" s="1"/>
      <c r="Y64" s="1"/>
      <c r="Z64" s="1"/>
    </row>
    <row r="65" spans="1:26" ht="15.75" customHeight="1">
      <c r="A65" s="1"/>
      <c r="B65" s="36" t="s">
        <v>76</v>
      </c>
      <c r="C65" s="38">
        <v>298258060232</v>
      </c>
      <c r="D65" s="38">
        <v>201756667857</v>
      </c>
      <c r="E65" s="38">
        <v>410330576602</v>
      </c>
      <c r="F65" s="30">
        <f t="shared" si="8"/>
        <v>0.23517962803098999</v>
      </c>
      <c r="G65" s="38">
        <v>95547717345</v>
      </c>
      <c r="H65" s="38">
        <v>554275328517</v>
      </c>
      <c r="I65" s="38">
        <v>360</v>
      </c>
      <c r="J65" s="34">
        <f t="shared" si="3"/>
        <v>62.057927666078704</v>
      </c>
      <c r="K65" s="6">
        <f>135899680378+1023100012</f>
        <v>136922780390</v>
      </c>
      <c r="L65" s="38">
        <f>175992492125+6434893393</f>
        <v>182427385518</v>
      </c>
      <c r="M65" s="38">
        <v>666434061412</v>
      </c>
      <c r="N65" s="34">
        <f t="shared" si="4"/>
        <v>98.545171366742892</v>
      </c>
      <c r="O65" s="34">
        <f t="shared" si="5"/>
        <v>16.987525323662947</v>
      </c>
      <c r="P65" s="30">
        <f t="shared" si="6"/>
        <v>143.61557370915867</v>
      </c>
      <c r="Q65" s="38">
        <v>111122445703</v>
      </c>
      <c r="R65" s="143">
        <v>118350824210</v>
      </c>
      <c r="S65" s="30">
        <f t="shared" si="1"/>
        <v>-7228378507</v>
      </c>
      <c r="T65" s="38">
        <v>209442676180</v>
      </c>
      <c r="U65" s="38">
        <v>200887900422</v>
      </c>
      <c r="V65" s="32">
        <f t="shared" si="2"/>
        <v>1.0425848233767649</v>
      </c>
      <c r="W65" s="1"/>
      <c r="X65" s="1"/>
      <c r="Y65" s="1"/>
      <c r="Z65" s="1"/>
    </row>
    <row r="66" spans="1:26" ht="15.75" customHeight="1">
      <c r="A66" s="39"/>
      <c r="B66" s="40" t="s">
        <v>77</v>
      </c>
      <c r="C66" s="41"/>
      <c r="D66" s="41"/>
      <c r="E66" s="41"/>
      <c r="F66" s="30" t="e">
        <f t="shared" si="8"/>
        <v>#DIV/0!</v>
      </c>
      <c r="G66" s="41"/>
      <c r="H66" s="41"/>
      <c r="I66" s="38">
        <v>360</v>
      </c>
      <c r="J66" s="34" t="e">
        <f t="shared" si="3"/>
        <v>#DIV/0!</v>
      </c>
      <c r="K66" s="41"/>
      <c r="L66" s="41"/>
      <c r="M66" s="41"/>
      <c r="N66" s="34" t="e">
        <f t="shared" si="4"/>
        <v>#DIV/0!</v>
      </c>
      <c r="O66" s="34" t="e">
        <f t="shared" si="5"/>
        <v>#DIV/0!</v>
      </c>
      <c r="P66" s="30" t="e">
        <f t="shared" si="6"/>
        <v>#DIV/0!</v>
      </c>
      <c r="Q66" s="41"/>
      <c r="R66" s="94">
        <v>1074257188</v>
      </c>
      <c r="S66" s="30">
        <f t="shared" si="1"/>
        <v>-1074257188</v>
      </c>
      <c r="T66" s="41"/>
      <c r="U66" s="41"/>
      <c r="V66" s="32" t="e">
        <f t="shared" si="2"/>
        <v>#DIV/0!</v>
      </c>
      <c r="W66" s="39"/>
      <c r="X66" s="39"/>
      <c r="Y66" s="39"/>
      <c r="Z66" s="39"/>
    </row>
    <row r="67" spans="1:26" ht="15.75" customHeight="1">
      <c r="A67" s="1"/>
      <c r="B67" s="36" t="s">
        <v>78</v>
      </c>
      <c r="C67" s="38">
        <v>2167035553599</v>
      </c>
      <c r="D67" s="38">
        <v>2015616872848</v>
      </c>
      <c r="E67" s="38">
        <v>8583223835997</v>
      </c>
      <c r="F67" s="30">
        <f t="shared" si="8"/>
        <v>1.7641236398376146E-2</v>
      </c>
      <c r="G67" s="38">
        <v>768429338957</v>
      </c>
      <c r="H67" s="38">
        <v>4696162163506</v>
      </c>
      <c r="I67" s="38">
        <v>360</v>
      </c>
      <c r="J67" s="34">
        <f t="shared" si="3"/>
        <v>58.906518214863723</v>
      </c>
      <c r="K67" s="38">
        <v>775955891887</v>
      </c>
      <c r="L67" s="38">
        <v>1112719990712</v>
      </c>
      <c r="M67" s="38">
        <v>5874745032615</v>
      </c>
      <c r="N67" s="34">
        <f t="shared" si="4"/>
        <v>68.186652260210849</v>
      </c>
      <c r="O67" s="34">
        <f t="shared" si="5"/>
        <v>11.157328537157468</v>
      </c>
      <c r="P67" s="30">
        <f t="shared" si="6"/>
        <v>115.9358419379171</v>
      </c>
      <c r="Q67" s="38">
        <v>6271722916197</v>
      </c>
      <c r="R67" s="94">
        <v>5275092810181</v>
      </c>
      <c r="S67" s="30">
        <f t="shared" si="1"/>
        <v>996630106016</v>
      </c>
      <c r="T67" s="38">
        <v>5424781372865</v>
      </c>
      <c r="U67" s="38">
        <v>3158442463132</v>
      </c>
      <c r="V67" s="32">
        <f t="shared" si="2"/>
        <v>1.7175495315135914</v>
      </c>
      <c r="W67" s="1"/>
      <c r="X67" s="1"/>
      <c r="Y67" s="1"/>
      <c r="Z67" s="1"/>
    </row>
    <row r="68" spans="1:26" ht="15.75" customHeight="1">
      <c r="A68" s="1"/>
      <c r="B68" s="36" t="s">
        <v>79</v>
      </c>
      <c r="C68" s="38">
        <v>2186979</v>
      </c>
      <c r="D68" s="38">
        <v>1368294</v>
      </c>
      <c r="E68" s="38">
        <v>6878800</v>
      </c>
      <c r="F68" s="30">
        <f t="shared" si="8"/>
        <v>0.11901567133802407</v>
      </c>
      <c r="G68" s="38">
        <v>977762</v>
      </c>
      <c r="H68" s="38">
        <v>2139207</v>
      </c>
      <c r="I68" s="38">
        <v>360</v>
      </c>
      <c r="J68" s="34">
        <f t="shared" si="3"/>
        <v>164.54430076191784</v>
      </c>
      <c r="K68" s="6">
        <f>96747+14732</f>
        <v>111479</v>
      </c>
      <c r="L68" s="6">
        <f>155464+525002</f>
        <v>680466</v>
      </c>
      <c r="M68" s="38">
        <v>2720473</v>
      </c>
      <c r="N68" s="34">
        <f t="shared" si="4"/>
        <v>90.0460177329457</v>
      </c>
      <c r="O68" s="34">
        <f t="shared" si="5"/>
        <v>41.15710840073001</v>
      </c>
      <c r="P68" s="30">
        <f t="shared" si="6"/>
        <v>213.43321009413353</v>
      </c>
      <c r="Q68" s="38">
        <v>4043525</v>
      </c>
      <c r="R68" s="94">
        <v>4964252</v>
      </c>
      <c r="S68" s="30">
        <f t="shared" si="1"/>
        <v>-920727</v>
      </c>
      <c r="T68" s="38">
        <v>4059414</v>
      </c>
      <c r="U68" s="38">
        <v>2819386</v>
      </c>
      <c r="V68" s="32">
        <f t="shared" si="2"/>
        <v>1.4398220037979901</v>
      </c>
      <c r="W68" s="1"/>
      <c r="X68" s="1"/>
      <c r="Y68" s="1"/>
      <c r="Z68" s="1"/>
    </row>
    <row r="69" spans="1:26" ht="15.75" customHeight="1">
      <c r="A69" s="1"/>
      <c r="B69" s="36" t="s">
        <v>80</v>
      </c>
      <c r="C69" s="38">
        <v>709583883699</v>
      </c>
      <c r="D69" s="38">
        <v>575996641235</v>
      </c>
      <c r="E69" s="38">
        <v>1142273020550</v>
      </c>
      <c r="F69" s="30">
        <f t="shared" si="8"/>
        <v>0.11694861041161443</v>
      </c>
      <c r="G69" s="38">
        <v>263410535674</v>
      </c>
      <c r="H69" s="38">
        <v>1721942515692</v>
      </c>
      <c r="I69" s="38">
        <v>360</v>
      </c>
      <c r="J69" s="34">
        <f t="shared" si="3"/>
        <v>55.070243041493981</v>
      </c>
      <c r="K69" s="38">
        <v>284747849255</v>
      </c>
      <c r="L69" s="38">
        <v>366702067522</v>
      </c>
      <c r="M69" s="38">
        <v>1995337146834</v>
      </c>
      <c r="N69" s="34">
        <f t="shared" si="4"/>
        <v>66.160620784003612</v>
      </c>
      <c r="O69" s="34">
        <f t="shared" si="5"/>
        <v>10.120781850975547</v>
      </c>
      <c r="P69" s="30">
        <f t="shared" si="6"/>
        <v>111.11008197452205</v>
      </c>
      <c r="Q69" s="38">
        <v>387738747365</v>
      </c>
      <c r="R69" s="147">
        <v>445834977809</v>
      </c>
      <c r="S69" s="30">
        <f t="shared" si="1"/>
        <v>-58096230444</v>
      </c>
      <c r="T69" s="38">
        <v>722488734446</v>
      </c>
      <c r="U69" s="38">
        <v>419784286104</v>
      </c>
      <c r="V69" s="32">
        <f t="shared" si="2"/>
        <v>1.721095234772571</v>
      </c>
      <c r="W69" s="1"/>
      <c r="X69" s="1"/>
      <c r="Y69" s="1"/>
      <c r="Z69" s="1"/>
    </row>
    <row r="70" spans="1:26" ht="15.75" customHeight="1">
      <c r="A70" s="1"/>
      <c r="B70" s="36" t="s">
        <v>81</v>
      </c>
      <c r="C70" s="38">
        <v>160272232793</v>
      </c>
      <c r="D70" s="38">
        <v>444595675025</v>
      </c>
      <c r="E70" s="38">
        <v>1263726833318</v>
      </c>
      <c r="F70" s="30">
        <f t="shared" si="8"/>
        <v>-0.22498805496239219</v>
      </c>
      <c r="G70" s="38">
        <v>39260581612</v>
      </c>
      <c r="H70" s="38">
        <v>194927597553</v>
      </c>
      <c r="I70" s="38">
        <v>360</v>
      </c>
      <c r="J70" s="34">
        <f t="shared" si="3"/>
        <v>72.507995572443647</v>
      </c>
      <c r="K70" s="38">
        <v>86244662679</v>
      </c>
      <c r="L70" s="38">
        <v>66478156631</v>
      </c>
      <c r="M70" s="38">
        <v>161367353685</v>
      </c>
      <c r="N70" s="34">
        <f t="shared" si="4"/>
        <v>148.30841456244707</v>
      </c>
      <c r="O70" s="34">
        <f t="shared" si="5"/>
        <v>29.870960740139022</v>
      </c>
      <c r="P70" s="30">
        <f t="shared" si="6"/>
        <v>190.94544939475168</v>
      </c>
      <c r="Q70" s="38">
        <v>1102560689720</v>
      </c>
      <c r="R70" s="94">
        <v>1140330439561</v>
      </c>
      <c r="S70" s="30">
        <f t="shared" si="1"/>
        <v>-37769749841</v>
      </c>
      <c r="T70" s="38">
        <v>844568778363</v>
      </c>
      <c r="U70" s="38">
        <v>419158054955</v>
      </c>
      <c r="V70" s="32">
        <f t="shared" si="2"/>
        <v>2.0149172093416441</v>
      </c>
      <c r="W70" s="1"/>
      <c r="X70" s="1"/>
      <c r="Y70" s="1"/>
      <c r="Z70" s="1"/>
    </row>
    <row r="71" spans="1:26" ht="15.75" customHeight="1">
      <c r="A71" s="1"/>
      <c r="B71" s="36" t="s">
        <v>82</v>
      </c>
      <c r="C71" s="38">
        <v>598774</v>
      </c>
      <c r="D71" s="38">
        <v>407056</v>
      </c>
      <c r="E71" s="38">
        <v>2491282</v>
      </c>
      <c r="F71" s="30">
        <f t="shared" si="8"/>
        <v>7.6955559426833256E-2</v>
      </c>
      <c r="G71" s="38">
        <v>251220</v>
      </c>
      <c r="H71" s="38">
        <v>886766</v>
      </c>
      <c r="I71" s="38">
        <v>360</v>
      </c>
      <c r="J71" s="34">
        <f t="shared" si="3"/>
        <v>101.98767205779201</v>
      </c>
      <c r="K71" s="6">
        <f>20561+70718</f>
        <v>91279</v>
      </c>
      <c r="L71" s="6">
        <f>60793+9821</f>
        <v>70614</v>
      </c>
      <c r="M71" s="38">
        <v>996902</v>
      </c>
      <c r="N71" s="34">
        <f t="shared" si="4"/>
        <v>25.500039121197471</v>
      </c>
      <c r="O71" s="34">
        <f t="shared" si="5"/>
        <v>7.2241378537598733</v>
      </c>
      <c r="P71" s="30">
        <f t="shared" si="6"/>
        <v>120.26357332522961</v>
      </c>
      <c r="Q71" s="38">
        <v>1164010</v>
      </c>
      <c r="R71" s="146">
        <v>1796064</v>
      </c>
      <c r="S71" s="30">
        <f t="shared" si="1"/>
        <v>-632054</v>
      </c>
      <c r="T71" s="38">
        <v>1554204</v>
      </c>
      <c r="U71" s="38">
        <v>937078</v>
      </c>
      <c r="V71" s="32">
        <f t="shared" si="2"/>
        <v>1.6585641750206492</v>
      </c>
      <c r="W71" s="1"/>
      <c r="X71" s="1"/>
      <c r="Y71" s="1"/>
      <c r="Z71" s="1"/>
    </row>
    <row r="72" spans="1:26" ht="15.75" customHeight="1">
      <c r="A72" s="1"/>
      <c r="B72" s="36" t="s">
        <v>83</v>
      </c>
      <c r="C72" s="38">
        <v>699313460414</v>
      </c>
      <c r="D72" s="38">
        <v>283923795268</v>
      </c>
      <c r="E72" s="38">
        <v>215885241550</v>
      </c>
      <c r="F72" s="30">
        <f t="shared" si="8"/>
        <v>1.9241225669879516</v>
      </c>
      <c r="G72" s="38">
        <v>406931058372</v>
      </c>
      <c r="H72" s="38">
        <v>1620898434904</v>
      </c>
      <c r="I72" s="38">
        <v>360</v>
      </c>
      <c r="J72" s="34">
        <f t="shared" si="3"/>
        <v>90.379000842576772</v>
      </c>
      <c r="K72" s="38">
        <v>47510128247</v>
      </c>
      <c r="L72" s="6">
        <f>107357848044+471320671</f>
        <v>107829168715</v>
      </c>
      <c r="M72" s="38">
        <v>1932435078255</v>
      </c>
      <c r="N72" s="34">
        <f t="shared" si="4"/>
        <v>20.087867982842315</v>
      </c>
      <c r="O72" s="34">
        <f t="shared" si="5"/>
        <v>5.0431151037413242</v>
      </c>
      <c r="P72" s="30">
        <f t="shared" si="6"/>
        <v>105.42375372167776</v>
      </c>
      <c r="Q72" s="38">
        <v>1430164650247</v>
      </c>
      <c r="R72" s="94">
        <v>1472769099682</v>
      </c>
      <c r="S72" s="30">
        <f t="shared" si="1"/>
        <v>-42604449435</v>
      </c>
      <c r="T72" s="38">
        <v>1047296887831</v>
      </c>
      <c r="U72" s="38">
        <v>1079146551310</v>
      </c>
      <c r="V72" s="32">
        <f t="shared" si="2"/>
        <v>0.97048624819276219</v>
      </c>
      <c r="W72" s="1"/>
      <c r="X72" s="1"/>
      <c r="Y72" s="1"/>
      <c r="Z72" s="1"/>
    </row>
    <row r="73" spans="1:26" ht="15.75" customHeight="1">
      <c r="A73" s="1"/>
      <c r="B73" s="36" t="s">
        <v>84</v>
      </c>
      <c r="C73" s="38">
        <v>49182</v>
      </c>
      <c r="D73" s="38">
        <v>67153</v>
      </c>
      <c r="E73" s="38">
        <v>339428</v>
      </c>
      <c r="F73" s="30">
        <f t="shared" si="8"/>
        <v>-5.2944954452785277E-2</v>
      </c>
      <c r="G73" s="38">
        <v>31433</v>
      </c>
      <c r="H73" s="38">
        <v>80900</v>
      </c>
      <c r="I73" s="38">
        <v>360</v>
      </c>
      <c r="J73" s="34">
        <f t="shared" si="3"/>
        <v>139.87490729295425</v>
      </c>
      <c r="K73" s="6">
        <f>775+10375</f>
        <v>11150</v>
      </c>
      <c r="L73" s="6">
        <f>7+3260</f>
        <v>3267</v>
      </c>
      <c r="M73" s="38">
        <v>84074</v>
      </c>
      <c r="N73" s="34">
        <f t="shared" si="4"/>
        <v>13.989104836215715</v>
      </c>
      <c r="O73" s="34">
        <f t="shared" si="5"/>
        <v>5.4353465057696972</v>
      </c>
      <c r="P73" s="30">
        <f t="shared" si="6"/>
        <v>148.42866562340026</v>
      </c>
      <c r="Q73" s="38">
        <v>182443</v>
      </c>
      <c r="R73" s="146">
        <v>274145</v>
      </c>
      <c r="S73" s="30">
        <f t="shared" si="1"/>
        <v>-91702</v>
      </c>
      <c r="T73" s="38">
        <v>176929</v>
      </c>
      <c r="U73" s="38">
        <v>162499</v>
      </c>
      <c r="V73" s="32">
        <f t="shared" si="2"/>
        <v>1.0888005464649013</v>
      </c>
      <c r="W73" s="1"/>
      <c r="X73" s="1"/>
      <c r="Y73" s="1"/>
      <c r="Z73" s="1"/>
    </row>
    <row r="74" spans="1:26" ht="15.75" customHeight="1">
      <c r="A74" s="1"/>
      <c r="B74" s="14"/>
      <c r="C74" s="15"/>
      <c r="D74" s="15"/>
      <c r="E74" s="15"/>
      <c r="F74" s="30" t="e">
        <f t="shared" si="8"/>
        <v>#DIV/0!</v>
      </c>
      <c r="G74" s="15"/>
      <c r="H74" s="15"/>
      <c r="I74" s="15"/>
      <c r="J74" s="34" t="e">
        <f t="shared" si="3"/>
        <v>#DIV/0!</v>
      </c>
      <c r="K74" s="15"/>
      <c r="L74" s="15"/>
      <c r="M74" s="15"/>
      <c r="N74" s="34" t="e">
        <f t="shared" si="4"/>
        <v>#DIV/0!</v>
      </c>
      <c r="O74" s="34" t="e">
        <f t="shared" si="5"/>
        <v>#DIV/0!</v>
      </c>
      <c r="P74" s="30" t="e">
        <f t="shared" si="6"/>
        <v>#DIV/0!</v>
      </c>
      <c r="Q74" s="15"/>
      <c r="R74" s="148"/>
      <c r="S74" s="30">
        <f t="shared" si="1"/>
        <v>0</v>
      </c>
      <c r="T74" s="15"/>
      <c r="U74" s="15"/>
      <c r="V74" s="32" t="e">
        <f t="shared" si="2"/>
        <v>#DIV/0!</v>
      </c>
      <c r="W74" s="1"/>
      <c r="X74" s="1"/>
      <c r="Y74" s="1"/>
      <c r="Z74" s="1"/>
    </row>
    <row r="75" spans="1:26" ht="15.75" customHeight="1">
      <c r="A75" s="1"/>
      <c r="B75" s="17"/>
      <c r="C75" s="18"/>
      <c r="D75" s="18"/>
      <c r="E75" s="18"/>
      <c r="F75" s="30" t="e">
        <f t="shared" si="8"/>
        <v>#DIV/0!</v>
      </c>
      <c r="G75" s="18"/>
      <c r="H75" s="18"/>
      <c r="I75" s="18"/>
      <c r="J75" s="34" t="e">
        <f t="shared" si="3"/>
        <v>#DIV/0!</v>
      </c>
      <c r="K75" s="18"/>
      <c r="L75" s="18"/>
      <c r="M75" s="18"/>
      <c r="N75" s="34" t="e">
        <f t="shared" si="4"/>
        <v>#DIV/0!</v>
      </c>
      <c r="O75" s="34" t="e">
        <f t="shared" si="5"/>
        <v>#DIV/0!</v>
      </c>
      <c r="P75" s="30" t="e">
        <f t="shared" si="6"/>
        <v>#DIV/0!</v>
      </c>
      <c r="Q75" s="18"/>
      <c r="R75" s="149"/>
      <c r="S75" s="30">
        <f t="shared" si="1"/>
        <v>0</v>
      </c>
      <c r="T75" s="18"/>
      <c r="U75" s="18"/>
      <c r="V75" s="32" t="e">
        <f t="shared" si="2"/>
        <v>#DIV/0!</v>
      </c>
      <c r="W75" s="1"/>
      <c r="X75" s="1"/>
      <c r="Y75" s="1"/>
      <c r="Z75" s="1"/>
    </row>
    <row r="76" spans="1:26" ht="15.75" customHeight="1">
      <c r="A76" s="1"/>
      <c r="B76" s="20" t="s">
        <v>85</v>
      </c>
      <c r="C76" s="6"/>
      <c r="D76" s="6"/>
      <c r="E76" s="6"/>
      <c r="F76" s="30" t="e">
        <f t="shared" si="8"/>
        <v>#DIV/0!</v>
      </c>
      <c r="G76" s="6"/>
      <c r="H76" s="6"/>
      <c r="I76" s="6"/>
      <c r="J76" s="34" t="e">
        <f t="shared" si="3"/>
        <v>#DIV/0!</v>
      </c>
      <c r="K76" s="6"/>
      <c r="L76" s="6"/>
      <c r="M76" s="6"/>
      <c r="N76" s="34" t="e">
        <f t="shared" si="4"/>
        <v>#DIV/0!</v>
      </c>
      <c r="O76" s="34" t="e">
        <f t="shared" si="5"/>
        <v>#DIV/0!</v>
      </c>
      <c r="P76" s="30" t="e">
        <f t="shared" si="6"/>
        <v>#DIV/0!</v>
      </c>
      <c r="Q76" s="6"/>
      <c r="R76" s="150"/>
      <c r="S76" s="30">
        <f t="shared" si="1"/>
        <v>0</v>
      </c>
      <c r="T76" s="6"/>
      <c r="U76" s="6"/>
      <c r="V76" s="32" t="e">
        <f t="shared" si="2"/>
        <v>#DIV/0!</v>
      </c>
      <c r="W76" s="1"/>
      <c r="X76" s="1"/>
      <c r="Y76" s="1"/>
      <c r="Z76" s="1"/>
    </row>
    <row r="77" spans="1:26" ht="15.75" customHeight="1">
      <c r="A77" s="1"/>
      <c r="B77" s="12" t="s">
        <v>86</v>
      </c>
      <c r="C77" s="6"/>
      <c r="D77" s="6"/>
      <c r="E77" s="6"/>
      <c r="F77" s="30" t="e">
        <f t="shared" si="8"/>
        <v>#DIV/0!</v>
      </c>
      <c r="G77" s="6"/>
      <c r="H77" s="6"/>
      <c r="I77" s="6"/>
      <c r="J77" s="34" t="e">
        <f t="shared" si="3"/>
        <v>#DIV/0!</v>
      </c>
      <c r="K77" s="6"/>
      <c r="L77" s="6"/>
      <c r="M77" s="6"/>
      <c r="N77" s="34" t="e">
        <f t="shared" si="4"/>
        <v>#DIV/0!</v>
      </c>
      <c r="O77" s="34" t="e">
        <f t="shared" si="5"/>
        <v>#DIV/0!</v>
      </c>
      <c r="P77" s="30" t="e">
        <f t="shared" si="6"/>
        <v>#DIV/0!</v>
      </c>
      <c r="Q77" s="6"/>
      <c r="R77" s="150"/>
      <c r="S77" s="30">
        <f t="shared" si="1"/>
        <v>0</v>
      </c>
      <c r="T77" s="6"/>
      <c r="U77" s="6"/>
      <c r="V77" s="32" t="e">
        <f t="shared" si="2"/>
        <v>#DIV/0!</v>
      </c>
      <c r="W77" s="1"/>
      <c r="X77" s="1"/>
      <c r="Y77" s="1"/>
      <c r="Z77" s="1"/>
    </row>
    <row r="78" spans="1:26" ht="15.75" customHeight="1">
      <c r="A78" s="1"/>
      <c r="B78" s="36" t="s">
        <v>87</v>
      </c>
      <c r="C78" s="38">
        <v>398546720456</v>
      </c>
      <c r="D78" s="38">
        <v>354278813444</v>
      </c>
      <c r="E78" s="38">
        <v>598711565464</v>
      </c>
      <c r="F78" s="30">
        <f t="shared" si="8"/>
        <v>7.393862013955331E-2</v>
      </c>
      <c r="G78" s="38">
        <v>300801447460</v>
      </c>
      <c r="H78" s="38">
        <v>201593118212</v>
      </c>
      <c r="I78" s="38">
        <v>360</v>
      </c>
      <c r="J78" s="34">
        <f t="shared" si="3"/>
        <v>537.16377843672853</v>
      </c>
      <c r="K78" s="38">
        <v>58111742575</v>
      </c>
      <c r="L78" s="38">
        <v>77690556719</v>
      </c>
      <c r="M78" s="38">
        <v>312547508818</v>
      </c>
      <c r="N78" s="34">
        <f t="shared" si="4"/>
        <v>89.485916955832906</v>
      </c>
      <c r="O78" s="34">
        <f t="shared" si="5"/>
        <v>133.523870191307</v>
      </c>
      <c r="P78" s="30">
        <f t="shared" si="6"/>
        <v>493.12582520125443</v>
      </c>
      <c r="Q78" s="38">
        <v>157140120337</v>
      </c>
      <c r="R78" s="150">
        <v>105541365660</v>
      </c>
      <c r="S78" s="30">
        <f t="shared" si="1"/>
        <v>51598754677</v>
      </c>
      <c r="T78" s="38">
        <v>420562586151</v>
      </c>
      <c r="U78" s="38">
        <v>178148979313</v>
      </c>
      <c r="V78" s="32">
        <f t="shared" si="2"/>
        <v>2.3607353113827827</v>
      </c>
      <c r="W78" s="1"/>
      <c r="X78" s="1"/>
      <c r="Y78" s="1"/>
      <c r="Z78" s="1"/>
    </row>
    <row r="79" spans="1:26" ht="15.75" customHeight="1">
      <c r="A79" s="1"/>
      <c r="B79" s="12" t="s">
        <v>88</v>
      </c>
      <c r="C79" s="6"/>
      <c r="D79" s="6"/>
      <c r="E79" s="6"/>
      <c r="F79" s="30" t="e">
        <f t="shared" si="8"/>
        <v>#DIV/0!</v>
      </c>
      <c r="G79" s="6"/>
      <c r="H79" s="6"/>
      <c r="I79" s="6"/>
      <c r="J79" s="34" t="e">
        <f t="shared" si="3"/>
        <v>#DIV/0!</v>
      </c>
      <c r="K79" s="6"/>
      <c r="L79" s="6"/>
      <c r="M79" s="6"/>
      <c r="N79" s="34" t="e">
        <f t="shared" si="4"/>
        <v>#DIV/0!</v>
      </c>
      <c r="O79" s="34" t="e">
        <f t="shared" si="5"/>
        <v>#DIV/0!</v>
      </c>
      <c r="P79" s="30" t="e">
        <f t="shared" si="6"/>
        <v>#DIV/0!</v>
      </c>
      <c r="Q79" s="6"/>
      <c r="R79" s="150"/>
      <c r="S79" s="30">
        <f t="shared" si="1"/>
        <v>0</v>
      </c>
      <c r="T79" s="6"/>
      <c r="U79" s="6"/>
      <c r="V79" s="32" t="e">
        <f t="shared" si="2"/>
        <v>#DIV/0!</v>
      </c>
      <c r="W79" s="1"/>
      <c r="X79" s="1"/>
      <c r="Y79" s="1"/>
      <c r="Z79" s="1"/>
    </row>
    <row r="80" spans="1:26" ht="15.75" customHeight="1">
      <c r="A80" s="1"/>
      <c r="B80" s="36" t="s">
        <v>89</v>
      </c>
      <c r="C80" s="38">
        <v>110403</v>
      </c>
      <c r="D80" s="38">
        <v>89079</v>
      </c>
      <c r="E80" s="38">
        <v>261855</v>
      </c>
      <c r="F80" s="30">
        <f t="shared" si="8"/>
        <v>8.143438162341754E-2</v>
      </c>
      <c r="G80" s="38">
        <v>17771</v>
      </c>
      <c r="H80" s="38">
        <v>144652</v>
      </c>
      <c r="I80" s="38">
        <v>360</v>
      </c>
      <c r="J80" s="34">
        <f t="shared" si="3"/>
        <v>44.227248845505073</v>
      </c>
      <c r="K80" s="6">
        <f>3666+18823</f>
        <v>22489</v>
      </c>
      <c r="L80" s="6">
        <f>1537+17409</f>
        <v>18946</v>
      </c>
      <c r="M80" s="38">
        <v>181084</v>
      </c>
      <c r="N80" s="34">
        <f t="shared" si="4"/>
        <v>37.665171964392215</v>
      </c>
      <c r="O80" s="34">
        <f t="shared" si="5"/>
        <v>4.6272970368830997</v>
      </c>
      <c r="P80" s="30">
        <f t="shared" si="6"/>
        <v>77.265123773014182</v>
      </c>
      <c r="Q80" s="38">
        <v>43237</v>
      </c>
      <c r="R80" s="94">
        <v>138786</v>
      </c>
      <c r="S80" s="30">
        <f t="shared" si="1"/>
        <v>-95549</v>
      </c>
      <c r="T80" s="38">
        <v>121949</v>
      </c>
      <c r="U80" s="38">
        <v>139906</v>
      </c>
      <c r="V80" s="32">
        <f t="shared" si="2"/>
        <v>0.87164953611710716</v>
      </c>
      <c r="W80" s="1"/>
      <c r="X80" s="1"/>
      <c r="Y80" s="1"/>
      <c r="Z80" s="1"/>
    </row>
    <row r="81" spans="1:26" ht="15.75" customHeight="1">
      <c r="A81" s="1"/>
      <c r="B81" s="36" t="s">
        <v>90</v>
      </c>
      <c r="C81" s="38">
        <v>4903902</v>
      </c>
      <c r="D81" s="38">
        <v>3258146</v>
      </c>
      <c r="E81" s="38">
        <v>14612274</v>
      </c>
      <c r="F81" s="30">
        <f t="shared" si="8"/>
        <v>0.11262832875978099</v>
      </c>
      <c r="G81" s="38">
        <v>1823884</v>
      </c>
      <c r="H81" s="38">
        <v>10954051</v>
      </c>
      <c r="I81" s="38">
        <v>360</v>
      </c>
      <c r="J81" s="34">
        <f t="shared" si="3"/>
        <v>59.941134106459792</v>
      </c>
      <c r="K81" s="6">
        <f>1088954+473399</f>
        <v>1562353</v>
      </c>
      <c r="L81" s="6">
        <f>88611+86327</f>
        <v>174938</v>
      </c>
      <c r="M81" s="38">
        <v>12806867</v>
      </c>
      <c r="N81" s="34">
        <f t="shared" si="4"/>
        <v>4.9174930917920827</v>
      </c>
      <c r="O81" s="34">
        <f t="shared" si="5"/>
        <v>0.81877809134083013</v>
      </c>
      <c r="P81" s="30">
        <f t="shared" si="6"/>
        <v>64.039849106911049</v>
      </c>
      <c r="Q81" s="38">
        <v>3599815</v>
      </c>
      <c r="R81" s="150">
        <v>9542340</v>
      </c>
      <c r="S81" s="30">
        <f t="shared" si="1"/>
        <v>-5942525</v>
      </c>
      <c r="T81" s="38">
        <v>4075716</v>
      </c>
      <c r="U81" s="38">
        <v>10536558</v>
      </c>
      <c r="V81" s="32">
        <f t="shared" si="2"/>
        <v>0.38681664353767142</v>
      </c>
      <c r="W81" s="1"/>
      <c r="X81" s="1"/>
      <c r="Y81" s="1"/>
      <c r="Z81" s="1"/>
    </row>
    <row r="82" spans="1:26" ht="15.75" customHeight="1">
      <c r="A82" s="1"/>
      <c r="B82" s="36" t="s">
        <v>91</v>
      </c>
      <c r="C82" s="38">
        <v>7517152</v>
      </c>
      <c r="D82" s="38">
        <v>4343805</v>
      </c>
      <c r="E82" s="38">
        <v>18697779</v>
      </c>
      <c r="F82" s="30">
        <f t="shared" si="8"/>
        <v>0.16971785793382199</v>
      </c>
      <c r="G82" s="38">
        <v>2280868</v>
      </c>
      <c r="H82" s="38">
        <v>10438263</v>
      </c>
      <c r="I82" s="38">
        <v>360</v>
      </c>
      <c r="J82" s="34">
        <f t="shared" si="3"/>
        <v>78.663708703258393</v>
      </c>
      <c r="K82" s="6">
        <f>375765+1338975</f>
        <v>1714740</v>
      </c>
      <c r="L82" s="6">
        <f>1383485+1752761</f>
        <v>3136246</v>
      </c>
      <c r="M82" s="38">
        <v>13633556</v>
      </c>
      <c r="N82" s="34">
        <f t="shared" si="4"/>
        <v>82.813945239231785</v>
      </c>
      <c r="O82" s="34">
        <f t="shared" si="5"/>
        <v>18.095700180184782</v>
      </c>
      <c r="P82" s="30">
        <f t="shared" si="6"/>
        <v>143.38195376230539</v>
      </c>
      <c r="Q82" s="38">
        <v>9130997</v>
      </c>
      <c r="R82" s="143">
        <v>10907224</v>
      </c>
      <c r="S82" s="30">
        <f t="shared" si="1"/>
        <v>-1776227</v>
      </c>
      <c r="T82" s="38">
        <v>12849602</v>
      </c>
      <c r="U82" s="38">
        <v>5848177</v>
      </c>
      <c r="V82" s="32">
        <f t="shared" si="2"/>
        <v>2.1971978618294212</v>
      </c>
      <c r="W82" s="1"/>
      <c r="X82" s="1"/>
      <c r="Y82" s="1"/>
      <c r="Z82" s="1"/>
    </row>
    <row r="83" spans="1:26" ht="15.75" customHeight="1">
      <c r="A83" s="1"/>
      <c r="B83" s="36" t="s">
        <v>92</v>
      </c>
      <c r="C83" s="38">
        <v>112618311</v>
      </c>
      <c r="D83" s="38">
        <v>59559808</v>
      </c>
      <c r="E83" s="38">
        <v>296060495</v>
      </c>
      <c r="F83" s="30">
        <f t="shared" si="8"/>
        <v>0.17921507224393446</v>
      </c>
      <c r="G83" s="38">
        <v>60195857</v>
      </c>
      <c r="H83" s="38">
        <v>175146608</v>
      </c>
      <c r="I83" s="38">
        <v>360</v>
      </c>
      <c r="J83" s="34">
        <f t="shared" si="3"/>
        <v>123.72782303611612</v>
      </c>
      <c r="K83" s="6">
        <f>37492630+3606058</f>
        <v>41098688</v>
      </c>
      <c r="L83" s="6">
        <f>32189951+2852915</f>
        <v>35042866</v>
      </c>
      <c r="M83" s="38">
        <v>220298959</v>
      </c>
      <c r="N83" s="34">
        <f t="shared" si="4"/>
        <v>57.265053894330933</v>
      </c>
      <c r="O83" s="34">
        <f t="shared" si="5"/>
        <v>19.681334595531748</v>
      </c>
      <c r="P83" s="30">
        <f t="shared" si="6"/>
        <v>161.31154233491529</v>
      </c>
      <c r="Q83" s="38">
        <v>1391679</v>
      </c>
      <c r="R83" s="150">
        <v>189736943</v>
      </c>
      <c r="S83" s="30">
        <f t="shared" si="1"/>
        <v>-188345264</v>
      </c>
      <c r="T83" s="38">
        <v>98315845</v>
      </c>
      <c r="U83" s="38">
        <v>197744650</v>
      </c>
      <c r="V83" s="32">
        <f t="shared" si="2"/>
        <v>0.4971858657111583</v>
      </c>
      <c r="W83" s="1"/>
      <c r="X83" s="1"/>
      <c r="Y83" s="1"/>
      <c r="Z83" s="1"/>
    </row>
    <row r="84" spans="1:26" ht="15.75" customHeight="1">
      <c r="A84" s="1"/>
      <c r="B84" s="36" t="s">
        <v>93</v>
      </c>
      <c r="C84" s="38">
        <v>11673284260270</v>
      </c>
      <c r="D84" s="38">
        <v>12594693691894</v>
      </c>
      <c r="E84" s="38">
        <v>25633342258679</v>
      </c>
      <c r="F84" s="30">
        <f t="shared" si="8"/>
        <v>-3.5945739042751126E-2</v>
      </c>
      <c r="G84" s="38">
        <v>193226351053</v>
      </c>
      <c r="H84" s="38">
        <v>12383420122230</v>
      </c>
      <c r="I84" s="38">
        <v>360</v>
      </c>
      <c r="J84" s="34">
        <f t="shared" si="3"/>
        <v>5.6173081178282276</v>
      </c>
      <c r="K84" s="6">
        <f>294737303063+772058915477</f>
        <v>1066796218540</v>
      </c>
      <c r="L84" s="6">
        <f>291098274614+1488023886627</f>
        <v>1779122161241</v>
      </c>
      <c r="M84" s="38">
        <v>15049532331662</v>
      </c>
      <c r="N84" s="34">
        <f t="shared" si="4"/>
        <v>42.558397426030048</v>
      </c>
      <c r="O84" s="34">
        <f t="shared" si="5"/>
        <v>0.66406564261944034</v>
      </c>
      <c r="P84" s="30">
        <f t="shared" si="6"/>
        <v>47.511639901238837</v>
      </c>
      <c r="Q84" s="38">
        <v>3864989875127</v>
      </c>
      <c r="R84" s="150">
        <v>12668683226177</v>
      </c>
      <c r="S84" s="30">
        <f t="shared" si="1"/>
        <v>-8803693351050</v>
      </c>
      <c r="T84" s="38">
        <v>18923523905726</v>
      </c>
      <c r="U84" s="38">
        <v>6709818352953</v>
      </c>
      <c r="V84" s="32">
        <f t="shared" si="2"/>
        <v>2.8202736512826361</v>
      </c>
      <c r="W84" s="1"/>
      <c r="X84" s="1"/>
      <c r="Y84" s="1"/>
      <c r="Z84" s="1"/>
    </row>
    <row r="85" spans="1:26" ht="15.75" customHeight="1">
      <c r="A85" s="1"/>
      <c r="B85" s="36" t="s">
        <v>94</v>
      </c>
      <c r="C85" s="38">
        <v>981694103645</v>
      </c>
      <c r="D85" s="38">
        <v>323699362103</v>
      </c>
      <c r="E85" s="38">
        <v>2477272502538</v>
      </c>
      <c r="F85" s="30">
        <f t="shared" si="8"/>
        <v>0.2656125803147919</v>
      </c>
      <c r="G85" s="38">
        <v>424025407793</v>
      </c>
      <c r="H85" s="38">
        <v>1383084156148</v>
      </c>
      <c r="I85" s="38">
        <v>360</v>
      </c>
      <c r="J85" s="34">
        <f t="shared" si="3"/>
        <v>110.36866131893238</v>
      </c>
      <c r="K85" s="6">
        <f>44945480696+29561658646</f>
        <v>74507139342</v>
      </c>
      <c r="L85" s="6">
        <f>272872368439+23134770936</f>
        <v>296007139375</v>
      </c>
      <c r="M85" s="38">
        <v>1637036790119</v>
      </c>
      <c r="N85" s="34">
        <f t="shared" si="4"/>
        <v>65.094792504482271</v>
      </c>
      <c r="O85" s="34">
        <f t="shared" si="5"/>
        <v>19.956736409870505</v>
      </c>
      <c r="P85" s="30">
        <f t="shared" si="6"/>
        <v>155.50671741354415</v>
      </c>
      <c r="Q85" s="38">
        <v>1361197258506</v>
      </c>
      <c r="R85" s="143">
        <v>1560999122161</v>
      </c>
      <c r="S85" s="30">
        <f t="shared" si="1"/>
        <v>-199801863655</v>
      </c>
      <c r="T85" s="38">
        <v>40208624907</v>
      </c>
      <c r="U85" s="38">
        <v>2068272502538</v>
      </c>
      <c r="V85" s="32">
        <f t="shared" si="2"/>
        <v>1.9440680499140977E-2</v>
      </c>
      <c r="W85" s="1"/>
      <c r="X85" s="1"/>
      <c r="Y85" s="1"/>
      <c r="Z85" s="1"/>
    </row>
    <row r="86" spans="1:26" ht="15.75" customHeight="1">
      <c r="A86" s="1"/>
      <c r="B86" s="36" t="s">
        <v>95</v>
      </c>
      <c r="C86" s="38">
        <v>187053339566</v>
      </c>
      <c r="D86" s="38">
        <v>262162231020</v>
      </c>
      <c r="E86" s="38">
        <v>477838306256</v>
      </c>
      <c r="F86" s="30">
        <f t="shared" si="8"/>
        <v>-0.15718474318750139</v>
      </c>
      <c r="G86" s="38">
        <v>40987802787</v>
      </c>
      <c r="H86" s="38">
        <v>90087524287</v>
      </c>
      <c r="I86" s="38">
        <v>360</v>
      </c>
      <c r="J86" s="34">
        <f t="shared" si="3"/>
        <v>163.79192479872927</v>
      </c>
      <c r="K86" s="38">
        <v>23309236978</v>
      </c>
      <c r="L86" s="38">
        <v>20211708795</v>
      </c>
      <c r="M86" s="38">
        <v>141746864032</v>
      </c>
      <c r="N86" s="34">
        <f t="shared" si="4"/>
        <v>51.332459563672337</v>
      </c>
      <c r="O86" s="34">
        <f t="shared" si="5"/>
        <v>23.355117657185641</v>
      </c>
      <c r="P86" s="30">
        <f t="shared" si="6"/>
        <v>191.76926670521595</v>
      </c>
      <c r="Q86" s="38">
        <v>136748543809</v>
      </c>
      <c r="R86" s="151">
        <v>179185358910</v>
      </c>
      <c r="S86" s="30">
        <f t="shared" si="1"/>
        <v>-42436815101</v>
      </c>
      <c r="T86" s="38">
        <v>426081054848</v>
      </c>
      <c r="U86" s="38">
        <v>51595020388</v>
      </c>
      <c r="V86" s="32">
        <f t="shared" si="2"/>
        <v>8.2581817323421038</v>
      </c>
      <c r="W86" s="1"/>
      <c r="X86" s="1"/>
      <c r="Y86" s="1"/>
      <c r="Z86" s="1"/>
    </row>
    <row r="87" spans="1:26" ht="15.75" customHeight="1">
      <c r="A87" s="1"/>
      <c r="B87" s="36" t="s">
        <v>96</v>
      </c>
      <c r="C87" s="38">
        <v>151754358</v>
      </c>
      <c r="D87" s="38">
        <v>144039966</v>
      </c>
      <c r="E87" s="38">
        <v>609745210</v>
      </c>
      <c r="F87" s="30">
        <f t="shared" si="8"/>
        <v>1.2651828785994071E-2</v>
      </c>
      <c r="G87" s="38">
        <v>66183570</v>
      </c>
      <c r="H87" s="38">
        <v>201227504</v>
      </c>
      <c r="I87" s="38">
        <v>360</v>
      </c>
      <c r="J87" s="34">
        <f t="shared" si="3"/>
        <v>118.40372079554294</v>
      </c>
      <c r="K87" s="38">
        <v>46281430</v>
      </c>
      <c r="L87" s="38">
        <v>36040977</v>
      </c>
      <c r="M87" s="38">
        <v>229800572</v>
      </c>
      <c r="N87" s="34">
        <f t="shared" si="4"/>
        <v>56.460920036352213</v>
      </c>
      <c r="O87" s="34">
        <f t="shared" si="5"/>
        <v>18.569952810677009</v>
      </c>
      <c r="P87" s="30">
        <f t="shared" si="6"/>
        <v>156.29468802121812</v>
      </c>
      <c r="Q87" s="38">
        <v>407713491</v>
      </c>
      <c r="R87" s="94">
        <v>439347404</v>
      </c>
      <c r="S87" s="30">
        <f t="shared" si="1"/>
        <v>-31633913</v>
      </c>
      <c r="T87" s="38">
        <v>270776948</v>
      </c>
      <c r="U87" s="38">
        <v>338968262</v>
      </c>
      <c r="V87" s="32">
        <f t="shared" si="2"/>
        <v>0.79882684709874108</v>
      </c>
      <c r="W87" s="1"/>
      <c r="X87" s="1"/>
      <c r="Y87" s="1"/>
      <c r="Z87" s="1"/>
    </row>
    <row r="88" spans="1:26" ht="15.75" customHeight="1">
      <c r="A88" s="1"/>
      <c r="B88" s="36" t="s">
        <v>97</v>
      </c>
      <c r="C88" s="38">
        <v>825372776</v>
      </c>
      <c r="D88" s="38">
        <v>677524406</v>
      </c>
      <c r="E88" s="38">
        <v>1777956390</v>
      </c>
      <c r="F88" s="30">
        <f t="shared" si="8"/>
        <v>8.3156353458140778E-2</v>
      </c>
      <c r="G88" s="38">
        <v>246724304</v>
      </c>
      <c r="H88" s="38">
        <v>860991306</v>
      </c>
      <c r="I88" s="38">
        <v>360</v>
      </c>
      <c r="J88" s="34">
        <f t="shared" si="3"/>
        <v>103.16102940997641</v>
      </c>
      <c r="K88" s="38">
        <v>211847821</v>
      </c>
      <c r="L88" s="38">
        <v>321825198</v>
      </c>
      <c r="M88" s="38">
        <v>1039635856</v>
      </c>
      <c r="N88" s="34">
        <f t="shared" si="4"/>
        <v>111.44004952441733</v>
      </c>
      <c r="O88" s="34">
        <f t="shared" si="5"/>
        <v>31.934083962326788</v>
      </c>
      <c r="P88" s="30">
        <f t="shared" si="6"/>
        <v>182.66699497206696</v>
      </c>
      <c r="Q88" s="38">
        <v>681451421</v>
      </c>
      <c r="R88" s="94">
        <v>846437385</v>
      </c>
      <c r="S88" s="30">
        <f t="shared" si="1"/>
        <v>-164985964</v>
      </c>
      <c r="T88" s="38">
        <v>935375496</v>
      </c>
      <c r="U88" s="38">
        <v>842580894</v>
      </c>
      <c r="V88" s="32">
        <f t="shared" si="2"/>
        <v>1.1101313863876909</v>
      </c>
      <c r="W88" s="1"/>
      <c r="X88" s="1"/>
      <c r="Y88" s="1"/>
      <c r="Z88" s="1"/>
    </row>
    <row r="89" spans="1:26" ht="15.75" customHeight="1">
      <c r="A89" s="1"/>
      <c r="B89" s="36" t="s">
        <v>98</v>
      </c>
      <c r="C89" s="38">
        <v>687016688458</v>
      </c>
      <c r="D89" s="38">
        <v>682161682936</v>
      </c>
      <c r="E89" s="38">
        <v>1596466547662</v>
      </c>
      <c r="F89" s="30">
        <f t="shared" si="8"/>
        <v>3.0410944276346276E-3</v>
      </c>
      <c r="G89" s="38">
        <v>208914417489</v>
      </c>
      <c r="H89" s="38">
        <v>293444899421</v>
      </c>
      <c r="I89" s="38">
        <v>360</v>
      </c>
      <c r="J89" s="34">
        <f t="shared" si="3"/>
        <v>256.29748700500926</v>
      </c>
      <c r="K89" s="38">
        <v>146488628923</v>
      </c>
      <c r="L89" s="38">
        <v>58078054851</v>
      </c>
      <c r="M89" s="38">
        <v>366709612329</v>
      </c>
      <c r="N89" s="34">
        <f t="shared" si="4"/>
        <v>57.015412313768117</v>
      </c>
      <c r="O89" s="34">
        <f t="shared" si="5"/>
        <v>40.591408046036747</v>
      </c>
      <c r="P89" s="30">
        <f t="shared" si="6"/>
        <v>272.72149127274065</v>
      </c>
      <c r="Q89" s="38">
        <v>897063812295</v>
      </c>
      <c r="R89" s="143">
        <v>872852839625</v>
      </c>
      <c r="S89" s="30">
        <f t="shared" si="1"/>
        <v>24210972670</v>
      </c>
      <c r="T89" s="38">
        <v>903464665102</v>
      </c>
      <c r="U89" s="38">
        <v>693001882560</v>
      </c>
      <c r="V89" s="32">
        <f t="shared" si="2"/>
        <v>1.3036972739013855</v>
      </c>
      <c r="W89" s="1"/>
      <c r="X89" s="1"/>
      <c r="Y89" s="1"/>
      <c r="Z89" s="1"/>
    </row>
    <row r="90" spans="1:26" ht="15.75" customHeight="1">
      <c r="A90" s="1"/>
      <c r="B90" s="36" t="s">
        <v>99</v>
      </c>
      <c r="C90" s="38">
        <v>1454387</v>
      </c>
      <c r="D90" s="38">
        <v>508482</v>
      </c>
      <c r="E90" s="38">
        <v>2254740</v>
      </c>
      <c r="F90" s="30">
        <f t="shared" si="8"/>
        <v>0.41951843671554145</v>
      </c>
      <c r="G90" s="38">
        <v>555341</v>
      </c>
      <c r="H90" s="38">
        <v>1945735</v>
      </c>
      <c r="I90" s="38">
        <v>360</v>
      </c>
      <c r="J90" s="34">
        <f t="shared" si="3"/>
        <v>102.74922330122037</v>
      </c>
      <c r="K90" s="6">
        <f>213038+32780</f>
        <v>245818</v>
      </c>
      <c r="L90" s="6">
        <f>673081+55140</f>
        <v>728221</v>
      </c>
      <c r="M90" s="38">
        <v>2879876</v>
      </c>
      <c r="N90" s="34">
        <f t="shared" si="4"/>
        <v>91.03154441371781</v>
      </c>
      <c r="O90" s="34">
        <f t="shared" si="5"/>
        <v>25.981723567833473</v>
      </c>
      <c r="P90" s="30">
        <f t="shared" si="6"/>
        <v>167.79904414710469</v>
      </c>
      <c r="Q90" s="38">
        <v>658258</v>
      </c>
      <c r="R90" s="150">
        <v>85155</v>
      </c>
      <c r="S90" s="30">
        <f t="shared" si="1"/>
        <v>573103</v>
      </c>
      <c r="T90" s="38">
        <v>674685</v>
      </c>
      <c r="U90" s="38">
        <v>1580055</v>
      </c>
      <c r="V90" s="32">
        <f t="shared" si="2"/>
        <v>0.42700095882738259</v>
      </c>
      <c r="W90" s="1"/>
      <c r="X90" s="1"/>
      <c r="Y90" s="1"/>
      <c r="Z90" s="1"/>
    </row>
    <row r="91" spans="1:26" ht="15.75" customHeight="1">
      <c r="A91" s="1"/>
      <c r="B91" s="9" t="s">
        <v>100</v>
      </c>
      <c r="C91" s="6"/>
      <c r="D91" s="6"/>
      <c r="E91" s="6"/>
      <c r="F91" s="30" t="e">
        <f t="shared" si="8"/>
        <v>#DIV/0!</v>
      </c>
      <c r="G91" s="6"/>
      <c r="H91" s="6"/>
      <c r="I91" s="6"/>
      <c r="J91" s="34" t="e">
        <f t="shared" si="3"/>
        <v>#DIV/0!</v>
      </c>
      <c r="K91" s="6"/>
      <c r="L91" s="6"/>
      <c r="M91" s="6"/>
      <c r="N91" s="34" t="e">
        <f t="shared" si="4"/>
        <v>#DIV/0!</v>
      </c>
      <c r="O91" s="34" t="e">
        <f t="shared" si="5"/>
        <v>#DIV/0!</v>
      </c>
      <c r="P91" s="30" t="e">
        <f t="shared" si="6"/>
        <v>#DIV/0!</v>
      </c>
      <c r="Q91" s="6"/>
      <c r="R91" s="150"/>
      <c r="S91" s="30">
        <f t="shared" si="1"/>
        <v>0</v>
      </c>
      <c r="T91" s="6"/>
      <c r="U91" s="6"/>
      <c r="V91" s="32" t="e">
        <f t="shared" si="2"/>
        <v>#DIV/0!</v>
      </c>
      <c r="W91" s="1"/>
      <c r="X91" s="1"/>
      <c r="Y91" s="1"/>
      <c r="Z91" s="1"/>
    </row>
    <row r="92" spans="1:26" ht="15.75" customHeight="1">
      <c r="A92" s="1"/>
      <c r="B92" s="36" t="s">
        <v>101</v>
      </c>
      <c r="C92" s="38">
        <v>27866276</v>
      </c>
      <c r="D92" s="38">
        <v>88889274</v>
      </c>
      <c r="E92" s="38">
        <v>116157533</v>
      </c>
      <c r="F92" s="30">
        <f t="shared" si="8"/>
        <v>-0.52534688387364425</v>
      </c>
      <c r="G92" s="38">
        <v>19091352</v>
      </c>
      <c r="H92" s="38">
        <v>49929328</v>
      </c>
      <c r="I92" s="38">
        <v>360</v>
      </c>
      <c r="J92" s="34">
        <f t="shared" si="3"/>
        <v>137.65229766360966</v>
      </c>
      <c r="K92" s="6">
        <f>15992948+1555548</f>
        <v>17548496</v>
      </c>
      <c r="L92" s="6">
        <f>2664527+296353</f>
        <v>2960880</v>
      </c>
      <c r="M92" s="38">
        <v>48669832</v>
      </c>
      <c r="N92" s="34">
        <f t="shared" si="4"/>
        <v>21.900975536550032</v>
      </c>
      <c r="O92" s="34">
        <f t="shared" si="5"/>
        <v>8.3742211213350508</v>
      </c>
      <c r="P92" s="30">
        <f t="shared" si="6"/>
        <v>151.17905207882464</v>
      </c>
      <c r="Q92" s="38">
        <v>83029189</v>
      </c>
      <c r="R92" s="150">
        <v>108159822</v>
      </c>
      <c r="S92" s="30">
        <f t="shared" si="1"/>
        <v>-25130633</v>
      </c>
      <c r="T92" s="38">
        <v>173148791</v>
      </c>
      <c r="U92" s="38">
        <v>56991258</v>
      </c>
      <c r="V92" s="32">
        <f t="shared" si="2"/>
        <v>3.0381640461419539</v>
      </c>
      <c r="W92" s="1"/>
      <c r="X92" s="1"/>
      <c r="Y92" s="1"/>
      <c r="Z92" s="1"/>
    </row>
    <row r="93" spans="1:26" ht="15.75" customHeight="1">
      <c r="A93" s="1"/>
      <c r="B93" s="36" t="s">
        <v>102</v>
      </c>
      <c r="C93" s="38">
        <v>118020699</v>
      </c>
      <c r="D93" s="38">
        <v>1108697962</v>
      </c>
      <c r="E93" s="38">
        <v>231149516</v>
      </c>
      <c r="F93" s="30">
        <f t="shared" si="8"/>
        <v>-4.2858721062604346</v>
      </c>
      <c r="G93" s="38">
        <v>59691450</v>
      </c>
      <c r="H93" s="38">
        <v>342580203</v>
      </c>
      <c r="I93" s="38">
        <v>360</v>
      </c>
      <c r="J93" s="34">
        <f t="shared" si="3"/>
        <v>62.726689434532204</v>
      </c>
      <c r="K93" s="38">
        <v>11986713</v>
      </c>
      <c r="L93" s="38">
        <v>3468469</v>
      </c>
      <c r="M93" s="38">
        <v>360480752</v>
      </c>
      <c r="N93" s="34">
        <f t="shared" si="4"/>
        <v>3.4638433066739718</v>
      </c>
      <c r="O93" s="34">
        <f t="shared" si="5"/>
        <v>0.60354284263228142</v>
      </c>
      <c r="P93" s="30">
        <f t="shared" si="6"/>
        <v>65.58698989857389</v>
      </c>
      <c r="Q93" s="38">
        <v>69647040</v>
      </c>
      <c r="R93" s="150">
        <v>89243997</v>
      </c>
      <c r="S93" s="30">
        <f t="shared" si="1"/>
        <v>-19596957</v>
      </c>
      <c r="T93" s="38">
        <v>1168715677</v>
      </c>
      <c r="U93" s="38">
        <v>937566161</v>
      </c>
      <c r="V93" s="32">
        <f t="shared" si="2"/>
        <v>1.2465420848310671</v>
      </c>
      <c r="W93" s="1"/>
      <c r="X93" s="1"/>
      <c r="Y93" s="1"/>
      <c r="Z93" s="1"/>
    </row>
    <row r="94" spans="1:26" ht="15.75" customHeight="1">
      <c r="A94" s="1"/>
      <c r="B94" s="36" t="s">
        <v>103</v>
      </c>
      <c r="C94" s="6"/>
      <c r="D94" s="6"/>
      <c r="E94" s="6"/>
      <c r="F94" s="30" t="e">
        <f t="shared" si="8"/>
        <v>#DIV/0!</v>
      </c>
      <c r="G94" s="6"/>
      <c r="H94" s="6"/>
      <c r="I94" s="38">
        <v>360</v>
      </c>
      <c r="J94" s="34" t="e">
        <f t="shared" si="3"/>
        <v>#DIV/0!</v>
      </c>
      <c r="K94" s="6"/>
      <c r="L94" s="6"/>
      <c r="M94" s="6"/>
      <c r="N94" s="34" t="e">
        <f t="shared" si="4"/>
        <v>#DIV/0!</v>
      </c>
      <c r="O94" s="34" t="e">
        <f t="shared" si="5"/>
        <v>#DIV/0!</v>
      </c>
      <c r="P94" s="30" t="e">
        <f t="shared" si="6"/>
        <v>#DIV/0!</v>
      </c>
      <c r="Q94" s="6"/>
      <c r="R94" s="150"/>
      <c r="S94" s="30">
        <f t="shared" si="1"/>
        <v>0</v>
      </c>
      <c r="T94" s="6"/>
      <c r="U94" s="6"/>
      <c r="V94" s="32" t="e">
        <f t="shared" si="2"/>
        <v>#DIV/0!</v>
      </c>
      <c r="W94" s="1"/>
      <c r="X94" s="1"/>
      <c r="Y94" s="1"/>
      <c r="Z94" s="1"/>
    </row>
    <row r="95" spans="1:26" ht="15.75" customHeight="1">
      <c r="A95" s="1"/>
      <c r="B95" s="36" t="s">
        <v>104</v>
      </c>
      <c r="C95" s="6"/>
      <c r="D95" s="6"/>
      <c r="E95" s="6"/>
      <c r="F95" s="30" t="e">
        <f t="shared" si="8"/>
        <v>#DIV/0!</v>
      </c>
      <c r="G95" s="6"/>
      <c r="H95" s="6"/>
      <c r="I95" s="38">
        <v>360</v>
      </c>
      <c r="J95" s="34" t="e">
        <f t="shared" si="3"/>
        <v>#DIV/0!</v>
      </c>
      <c r="K95" s="6"/>
      <c r="L95" s="6"/>
      <c r="M95" s="6"/>
      <c r="N95" s="34" t="e">
        <f t="shared" si="4"/>
        <v>#DIV/0!</v>
      </c>
      <c r="O95" s="34" t="e">
        <f t="shared" si="5"/>
        <v>#DIV/0!</v>
      </c>
      <c r="P95" s="30" t="e">
        <f t="shared" si="6"/>
        <v>#DIV/0!</v>
      </c>
      <c r="Q95" s="6"/>
      <c r="R95" s="150"/>
      <c r="S95" s="30">
        <f t="shared" si="1"/>
        <v>0</v>
      </c>
      <c r="T95" s="6"/>
      <c r="U95" s="6"/>
      <c r="V95" s="32" t="e">
        <f t="shared" si="2"/>
        <v>#DIV/0!</v>
      </c>
      <c r="W95" s="1"/>
      <c r="X95" s="1"/>
      <c r="Y95" s="1"/>
      <c r="Z95" s="1"/>
    </row>
    <row r="96" spans="1:26" ht="15.75" customHeight="1">
      <c r="A96" s="1"/>
      <c r="B96" s="36" t="s">
        <v>105</v>
      </c>
      <c r="C96" s="38">
        <v>21464176</v>
      </c>
      <c r="D96" s="38">
        <v>16919686</v>
      </c>
      <c r="E96" s="38">
        <v>52658997</v>
      </c>
      <c r="F96" s="30">
        <f t="shared" si="8"/>
        <v>8.6300352435501188E-2</v>
      </c>
      <c r="G96" s="38">
        <v>11918765</v>
      </c>
      <c r="H96" s="38">
        <v>64146528</v>
      </c>
      <c r="I96" s="38">
        <v>360</v>
      </c>
      <c r="J96" s="34">
        <f t="shared" si="3"/>
        <v>66.889908679079255</v>
      </c>
      <c r="K96" s="38">
        <v>1591169</v>
      </c>
      <c r="L96" s="38">
        <v>5403449</v>
      </c>
      <c r="M96" s="38">
        <v>70555051</v>
      </c>
      <c r="N96" s="34">
        <f t="shared" si="4"/>
        <v>27.570551114760018</v>
      </c>
      <c r="O96" s="34">
        <f t="shared" si="5"/>
        <v>5.1227545730505124</v>
      </c>
      <c r="P96" s="30">
        <f t="shared" si="6"/>
        <v>89.337705220788763</v>
      </c>
      <c r="Q96" s="38">
        <v>29898771</v>
      </c>
      <c r="R96" s="94">
        <v>26274615</v>
      </c>
      <c r="S96" s="30">
        <f t="shared" si="1"/>
        <v>3624156</v>
      </c>
      <c r="T96" s="38">
        <v>32657714</v>
      </c>
      <c r="U96" s="38">
        <v>20001283</v>
      </c>
      <c r="V96" s="32">
        <f t="shared" si="2"/>
        <v>1.6327809571016019</v>
      </c>
      <c r="W96" s="1"/>
      <c r="X96" s="1"/>
      <c r="Y96" s="1"/>
      <c r="Z96" s="1"/>
    </row>
    <row r="97" spans="1:26" ht="15.75" customHeight="1">
      <c r="A97" s="1"/>
      <c r="B97" s="36" t="s">
        <v>106</v>
      </c>
      <c r="C97" s="38">
        <v>27019321</v>
      </c>
      <c r="D97" s="38">
        <v>19587421</v>
      </c>
      <c r="E97" s="38">
        <v>49433362</v>
      </c>
      <c r="F97" s="30">
        <f t="shared" si="8"/>
        <v>0.15034178739451304</v>
      </c>
      <c r="G97" s="38">
        <v>20776539</v>
      </c>
      <c r="H97" s="38">
        <v>35316407</v>
      </c>
      <c r="I97" s="38">
        <v>360</v>
      </c>
      <c r="J97" s="34">
        <f t="shared" si="3"/>
        <v>211.78694763598119</v>
      </c>
      <c r="K97" s="38">
        <v>5576740</v>
      </c>
      <c r="L97" s="38">
        <v>4910780</v>
      </c>
      <c r="M97" s="38">
        <v>35164569</v>
      </c>
      <c r="N97" s="34">
        <f t="shared" si="4"/>
        <v>50.274490780762875</v>
      </c>
      <c r="O97" s="34">
        <f t="shared" si="5"/>
        <v>29.576335962252909</v>
      </c>
      <c r="P97" s="30">
        <f t="shared" si="6"/>
        <v>232.48510245449117</v>
      </c>
      <c r="Q97" s="38">
        <v>19002667</v>
      </c>
      <c r="R97" s="143">
        <v>30395461</v>
      </c>
      <c r="S97" s="30">
        <f t="shared" si="1"/>
        <v>-11392794</v>
      </c>
      <c r="T97" s="38">
        <v>33281750</v>
      </c>
      <c r="U97" s="38">
        <v>16151612</v>
      </c>
      <c r="V97" s="32">
        <f t="shared" si="2"/>
        <v>2.0605837980753869</v>
      </c>
      <c r="W97" s="1"/>
      <c r="X97" s="1"/>
      <c r="Y97" s="1"/>
      <c r="Z97" s="1"/>
    </row>
    <row r="98" spans="1:26" ht="15.75" customHeight="1">
      <c r="A98" s="1"/>
      <c r="B98" s="36" t="s">
        <v>107</v>
      </c>
      <c r="C98" s="38">
        <v>291246185</v>
      </c>
      <c r="D98" s="38">
        <v>267722306</v>
      </c>
      <c r="E98" s="38">
        <v>843581694</v>
      </c>
      <c r="F98" s="30">
        <f t="shared" si="8"/>
        <v>2.7885715357877362E-2</v>
      </c>
      <c r="G98" s="38">
        <v>128017771</v>
      </c>
      <c r="H98" s="38">
        <v>626717582</v>
      </c>
      <c r="I98" s="38">
        <v>360</v>
      </c>
      <c r="J98" s="34">
        <f t="shared" si="3"/>
        <v>73.536149110302134</v>
      </c>
      <c r="K98" s="6">
        <f>21769457+177837684</f>
        <v>199607141</v>
      </c>
      <c r="L98" s="6">
        <f>11919260+83823361</f>
        <v>95742621</v>
      </c>
      <c r="M98" s="38">
        <v>691758965</v>
      </c>
      <c r="N98" s="34">
        <f t="shared" si="4"/>
        <v>49.825655038673766</v>
      </c>
      <c r="O98" s="34">
        <f t="shared" si="5"/>
        <v>10.177741106784419</v>
      </c>
      <c r="P98" s="30">
        <f t="shared" si="6"/>
        <v>113.18406304219147</v>
      </c>
      <c r="Q98" s="38">
        <v>496129545</v>
      </c>
      <c r="R98" s="94">
        <v>510574924</v>
      </c>
      <c r="S98" s="30">
        <f t="shared" si="1"/>
        <v>-14445379</v>
      </c>
      <c r="T98" s="38">
        <v>560630496</v>
      </c>
      <c r="U98" s="38">
        <v>282951198</v>
      </c>
      <c r="V98" s="32">
        <f t="shared" si="2"/>
        <v>1.9813681651208277</v>
      </c>
      <c r="W98" s="1"/>
      <c r="X98" s="1"/>
      <c r="Y98" s="1"/>
      <c r="Z98" s="1"/>
    </row>
    <row r="99" spans="1:26" ht="15.75" customHeight="1">
      <c r="A99" s="1"/>
      <c r="B99" s="36" t="s">
        <v>108</v>
      </c>
      <c r="C99" s="38">
        <v>119703443513</v>
      </c>
      <c r="D99" s="38">
        <v>184553791533</v>
      </c>
      <c r="E99" s="38">
        <v>432913180372</v>
      </c>
      <c r="F99" s="30">
        <f t="shared" si="8"/>
        <v>-0.14979989281978998</v>
      </c>
      <c r="G99" s="38">
        <v>48647675737</v>
      </c>
      <c r="H99" s="38">
        <v>71880722732</v>
      </c>
      <c r="I99" s="38">
        <v>360</v>
      </c>
      <c r="J99" s="34">
        <f t="shared" si="3"/>
        <v>243.64200302515121</v>
      </c>
      <c r="K99" s="38">
        <v>829073537</v>
      </c>
      <c r="L99" s="38">
        <v>24488887846</v>
      </c>
      <c r="M99" s="38">
        <v>104109821503</v>
      </c>
      <c r="N99" s="34">
        <f t="shared" si="4"/>
        <v>84.67980731583485</v>
      </c>
      <c r="O99" s="34">
        <f t="shared" si="5"/>
        <v>57.309882972816268</v>
      </c>
      <c r="P99" s="30">
        <f t="shared" si="6"/>
        <v>271.01192736816984</v>
      </c>
      <c r="Q99" s="38">
        <v>307293251267</v>
      </c>
      <c r="R99" s="94">
        <v>333251959720</v>
      </c>
      <c r="S99" s="30">
        <f t="shared" si="1"/>
        <v>-25958708453</v>
      </c>
      <c r="T99" s="38">
        <v>188891359540</v>
      </c>
      <c r="U99" s="38">
        <v>244021820832</v>
      </c>
      <c r="V99" s="32">
        <f t="shared" si="2"/>
        <v>0.77407569083768424</v>
      </c>
      <c r="W99" s="1"/>
      <c r="X99" s="1"/>
      <c r="Y99" s="1"/>
      <c r="Z99" s="1"/>
    </row>
    <row r="100" spans="1:26" ht="15.75" customHeight="1">
      <c r="A100" s="1"/>
      <c r="B100" s="36" t="s">
        <v>109</v>
      </c>
      <c r="C100" s="38">
        <v>386571023</v>
      </c>
      <c r="D100" s="38">
        <v>102772612</v>
      </c>
      <c r="E100" s="38">
        <v>519506767</v>
      </c>
      <c r="F100" s="30">
        <f t="shared" si="8"/>
        <v>0.54628433935298482</v>
      </c>
      <c r="G100" s="38">
        <v>101629921</v>
      </c>
      <c r="H100" s="38">
        <v>416944064</v>
      </c>
      <c r="I100" s="38">
        <v>360</v>
      </c>
      <c r="J100" s="34">
        <f t="shared" si="3"/>
        <v>87.749831977461596</v>
      </c>
      <c r="K100" s="6">
        <f>52875480+77012</f>
        <v>52952492</v>
      </c>
      <c r="L100" s="38">
        <v>80462162</v>
      </c>
      <c r="M100" s="38">
        <v>482204159</v>
      </c>
      <c r="N100" s="34">
        <f t="shared" si="4"/>
        <v>60.070776618913399</v>
      </c>
      <c r="O100" s="34">
        <f t="shared" si="5"/>
        <v>14.64222376407022</v>
      </c>
      <c r="P100" s="30">
        <f t="shared" si="6"/>
        <v>133.17838483230477</v>
      </c>
      <c r="Q100" s="38">
        <v>123416244</v>
      </c>
      <c r="R100" s="94">
        <v>132290021</v>
      </c>
      <c r="S100" s="30">
        <f t="shared" si="1"/>
        <v>-8873777</v>
      </c>
      <c r="T100" s="38">
        <v>291866255</v>
      </c>
      <c r="U100" s="38">
        <v>227640512</v>
      </c>
      <c r="V100" s="32">
        <f t="shared" si="2"/>
        <v>1.2821367006941189</v>
      </c>
      <c r="W100" s="1"/>
      <c r="X100" s="1"/>
      <c r="Y100" s="1"/>
      <c r="Z100" s="1"/>
    </row>
    <row r="101" spans="1:26" ht="15.75" customHeight="1">
      <c r="A101" s="1"/>
      <c r="B101" s="36" t="s">
        <v>110</v>
      </c>
      <c r="C101" s="38">
        <v>582043492</v>
      </c>
      <c r="D101" s="38">
        <v>855007042</v>
      </c>
      <c r="E101" s="38">
        <v>4743579755</v>
      </c>
      <c r="F101" s="30">
        <f t="shared" si="8"/>
        <v>-5.7543788467408194E-2</v>
      </c>
      <c r="G101" s="38">
        <v>225404688</v>
      </c>
      <c r="H101" s="38">
        <v>1625570105</v>
      </c>
      <c r="I101" s="38">
        <v>360</v>
      </c>
      <c r="J101" s="34">
        <f t="shared" si="3"/>
        <v>49.918294775727311</v>
      </c>
      <c r="K101" s="6">
        <f>178977778+1952</f>
        <v>178979730</v>
      </c>
      <c r="L101" s="6">
        <f>89496391+66925624</f>
        <v>156422015</v>
      </c>
      <c r="M101" s="38">
        <v>1647106585</v>
      </c>
      <c r="N101" s="34">
        <f t="shared" si="4"/>
        <v>34.188391882362609</v>
      </c>
      <c r="O101" s="34">
        <f t="shared" si="5"/>
        <v>4.7406283996996095</v>
      </c>
      <c r="P101" s="30">
        <f t="shared" si="6"/>
        <v>79.366058258390325</v>
      </c>
      <c r="Q101" s="38">
        <v>3893899237</v>
      </c>
      <c r="R101" s="143">
        <v>4280113034</v>
      </c>
      <c r="S101" s="30">
        <f t="shared" si="1"/>
        <v>-386213797</v>
      </c>
      <c r="T101" s="38">
        <v>3565112660</v>
      </c>
      <c r="U101" s="38">
        <v>1178467095</v>
      </c>
      <c r="V101" s="32">
        <f t="shared" si="2"/>
        <v>3.0252118834085904</v>
      </c>
      <c r="W101" s="1"/>
      <c r="X101" s="1"/>
      <c r="Y101" s="1"/>
      <c r="Z101" s="1"/>
    </row>
    <row r="102" spans="1:26" ht="15.75" customHeight="1">
      <c r="A102" s="1"/>
      <c r="B102" s="36" t="s">
        <v>111</v>
      </c>
      <c r="C102" s="38">
        <v>943936823539</v>
      </c>
      <c r="D102" s="38">
        <v>821755111705</v>
      </c>
      <c r="E102" s="38">
        <v>1288683925066</v>
      </c>
      <c r="F102" s="30">
        <f t="shared" si="8"/>
        <v>9.4811232962141945E-2</v>
      </c>
      <c r="G102" s="38">
        <v>501735210108</v>
      </c>
      <c r="H102" s="38">
        <v>946369710149</v>
      </c>
      <c r="I102" s="38">
        <v>360</v>
      </c>
      <c r="J102" s="34">
        <f t="shared" si="3"/>
        <v>190.86058408446078</v>
      </c>
      <c r="K102" s="6">
        <f>54401401795+33101274605</f>
        <v>87502676400</v>
      </c>
      <c r="L102" s="6">
        <f>224106578956+63759867322</f>
        <v>287866446278</v>
      </c>
      <c r="M102" s="38">
        <v>1221519096811</v>
      </c>
      <c r="N102" s="34">
        <f t="shared" si="4"/>
        <v>84.838559569498486</v>
      </c>
      <c r="O102" s="34">
        <f t="shared" si="5"/>
        <v>44.978713978663336</v>
      </c>
      <c r="P102" s="30">
        <f t="shared" si="6"/>
        <v>230.72042967529592</v>
      </c>
      <c r="Q102" s="38">
        <v>332510848915</v>
      </c>
      <c r="R102" s="94">
        <v>346716295288</v>
      </c>
      <c r="S102" s="30">
        <f t="shared" si="1"/>
        <v>-14205446373</v>
      </c>
      <c r="T102" s="38">
        <v>876184855001</v>
      </c>
      <c r="U102" s="38">
        <v>412499070065</v>
      </c>
      <c r="V102" s="32">
        <f t="shared" si="2"/>
        <v>2.1240892854932598</v>
      </c>
      <c r="W102" s="1"/>
      <c r="X102" s="1"/>
      <c r="Y102" s="1"/>
      <c r="Z102" s="1"/>
    </row>
    <row r="103" spans="1:26" ht="15.75" customHeight="1">
      <c r="A103" s="1"/>
      <c r="B103" s="36" t="s">
        <v>112</v>
      </c>
      <c r="C103" s="38">
        <v>378025198</v>
      </c>
      <c r="D103" s="38">
        <v>106772344</v>
      </c>
      <c r="E103" s="38">
        <v>947169710</v>
      </c>
      <c r="F103" s="30">
        <f t="shared" si="8"/>
        <v>0.28638252589390767</v>
      </c>
      <c r="G103" s="38">
        <v>147615967</v>
      </c>
      <c r="H103" s="38">
        <v>534588503</v>
      </c>
      <c r="I103" s="38">
        <v>360</v>
      </c>
      <c r="J103" s="34">
        <f t="shared" si="3"/>
        <v>99.40682940575698</v>
      </c>
      <c r="K103" s="6">
        <f>4947294+576381</f>
        <v>5523675</v>
      </c>
      <c r="L103" s="6">
        <f>114130407+35430215</f>
        <v>149560622</v>
      </c>
      <c r="M103" s="38">
        <v>679939490</v>
      </c>
      <c r="N103" s="34">
        <f t="shared" si="4"/>
        <v>79.186199230758021</v>
      </c>
      <c r="O103" s="34">
        <f t="shared" si="5"/>
        <v>21.865691661728466</v>
      </c>
      <c r="P103" s="30">
        <f t="shared" si="6"/>
        <v>156.72733697478651</v>
      </c>
      <c r="Q103" s="38">
        <v>519304496</v>
      </c>
      <c r="R103" s="143">
        <v>460208965</v>
      </c>
      <c r="S103" s="30">
        <f t="shared" si="1"/>
        <v>59095531</v>
      </c>
      <c r="T103" s="38">
        <v>616060202</v>
      </c>
      <c r="U103" s="38">
        <v>331109508</v>
      </c>
      <c r="V103" s="32">
        <f t="shared" si="2"/>
        <v>1.8605935109540859</v>
      </c>
      <c r="W103" s="1"/>
      <c r="X103" s="1"/>
      <c r="Y103" s="1"/>
      <c r="Z103" s="1"/>
    </row>
    <row r="104" spans="1:26" ht="15.75" customHeight="1">
      <c r="A104" s="1"/>
      <c r="B104" s="36" t="s">
        <v>113</v>
      </c>
      <c r="C104" s="38">
        <v>386235136503</v>
      </c>
      <c r="D104" s="38">
        <v>193182418174</v>
      </c>
      <c r="E104" s="38">
        <v>690187353961</v>
      </c>
      <c r="F104" s="30">
        <f t="shared" si="8"/>
        <v>0.2797105991888526</v>
      </c>
      <c r="G104" s="38">
        <v>50894621608</v>
      </c>
      <c r="H104" s="38">
        <v>100307649640</v>
      </c>
      <c r="I104" s="38">
        <v>360</v>
      </c>
      <c r="J104" s="34">
        <f t="shared" si="3"/>
        <v>182.6586889896945</v>
      </c>
      <c r="K104" s="38">
        <v>412384093</v>
      </c>
      <c r="L104" s="38">
        <v>40800012603</v>
      </c>
      <c r="M104" s="38">
        <v>129480611941</v>
      </c>
      <c r="N104" s="34">
        <f t="shared" si="4"/>
        <v>113.43786777724556</v>
      </c>
      <c r="O104" s="34">
        <f t="shared" si="5"/>
        <v>57.556700583272175</v>
      </c>
      <c r="P104" s="30">
        <f t="shared" si="6"/>
        <v>238.53985618366789</v>
      </c>
      <c r="Q104" s="38">
        <v>303390837904</v>
      </c>
      <c r="R104" s="94">
        <v>316323612813</v>
      </c>
      <c r="S104" s="30">
        <f t="shared" si="1"/>
        <v>-12932774909</v>
      </c>
      <c r="T104" s="38">
        <v>200161402637</v>
      </c>
      <c r="U104" s="38">
        <v>490025951324</v>
      </c>
      <c r="V104" s="32">
        <f t="shared" si="2"/>
        <v>0.40847102504711102</v>
      </c>
      <c r="W104" s="1"/>
      <c r="X104" s="1"/>
      <c r="Y104" s="1"/>
      <c r="Z104" s="1"/>
    </row>
    <row r="105" spans="1:26" ht="15.75" customHeight="1">
      <c r="A105" s="1"/>
      <c r="B105" s="36" t="s">
        <v>114</v>
      </c>
      <c r="C105" s="38">
        <v>330396510184</v>
      </c>
      <c r="D105" s="38">
        <v>281293937955</v>
      </c>
      <c r="E105" s="38">
        <v>649654335962</v>
      </c>
      <c r="F105" s="30">
        <f t="shared" si="8"/>
        <v>7.5582612954148184E-2</v>
      </c>
      <c r="G105" s="38">
        <v>276951721441</v>
      </c>
      <c r="H105" s="38">
        <v>434547485451</v>
      </c>
      <c r="I105" s="38">
        <v>360</v>
      </c>
      <c r="J105" s="34">
        <f t="shared" si="3"/>
        <v>229.44010276640427</v>
      </c>
      <c r="K105" s="38">
        <v>93153187929</v>
      </c>
      <c r="L105" s="38">
        <v>49306630395</v>
      </c>
      <c r="M105" s="38">
        <v>436691203876</v>
      </c>
      <c r="N105" s="34">
        <f t="shared" si="4"/>
        <v>40.647457023751471</v>
      </c>
      <c r="O105" s="34">
        <f t="shared" si="5"/>
        <v>25.905990879784827</v>
      </c>
      <c r="P105" s="30">
        <f t="shared" si="6"/>
        <v>244.18156891037091</v>
      </c>
      <c r="Q105" s="38">
        <v>318356385778</v>
      </c>
      <c r="R105" s="94">
        <v>344564630339</v>
      </c>
      <c r="S105" s="30">
        <f t="shared" si="1"/>
        <v>-26208244561</v>
      </c>
      <c r="T105" s="38">
        <v>411713925506</v>
      </c>
      <c r="U105" s="38">
        <v>237940410456</v>
      </c>
      <c r="V105" s="32">
        <f t="shared" si="2"/>
        <v>1.7303236752301654</v>
      </c>
      <c r="W105" s="1"/>
      <c r="X105" s="1"/>
      <c r="Y105" s="1"/>
      <c r="Z105" s="1"/>
    </row>
    <row r="106" spans="1:26" ht="15.75" customHeight="1">
      <c r="A106" s="1"/>
      <c r="B106" s="36" t="s">
        <v>115</v>
      </c>
      <c r="C106" s="38">
        <v>85721387</v>
      </c>
      <c r="D106" s="38">
        <v>26501119</v>
      </c>
      <c r="E106" s="38">
        <v>322283946</v>
      </c>
      <c r="F106" s="30">
        <f t="shared" si="8"/>
        <v>0.18375183975189383</v>
      </c>
      <c r="G106" s="38">
        <v>35941912</v>
      </c>
      <c r="H106" s="38">
        <v>178557718</v>
      </c>
      <c r="I106" s="38">
        <v>360</v>
      </c>
      <c r="J106" s="34">
        <f t="shared" si="3"/>
        <v>72.464458355140934</v>
      </c>
      <c r="K106" s="38">
        <v>13214051</v>
      </c>
      <c r="L106" s="38">
        <v>22988145</v>
      </c>
      <c r="M106" s="38">
        <v>186376830</v>
      </c>
      <c r="N106" s="34">
        <f t="shared" si="4"/>
        <v>44.403224370754671</v>
      </c>
      <c r="O106" s="34">
        <f t="shared" si="5"/>
        <v>8.9379322312459202</v>
      </c>
      <c r="P106" s="30">
        <f t="shared" si="6"/>
        <v>107.92975049464968</v>
      </c>
      <c r="Q106" s="38">
        <v>226329588</v>
      </c>
      <c r="R106" s="143">
        <v>244085143</v>
      </c>
      <c r="S106" s="30">
        <f t="shared" si="1"/>
        <v>-17755555</v>
      </c>
      <c r="T106" s="38">
        <v>30667954</v>
      </c>
      <c r="U106" s="38">
        <v>291615992</v>
      </c>
      <c r="V106" s="32">
        <f t="shared" si="2"/>
        <v>0.10516554249878038</v>
      </c>
      <c r="W106" s="1"/>
      <c r="X106" s="1"/>
      <c r="Y106" s="1"/>
      <c r="Z106" s="1"/>
    </row>
    <row r="107" spans="1:26" ht="15.75" customHeight="1">
      <c r="A107" s="1"/>
      <c r="B107" s="36" t="s">
        <v>116</v>
      </c>
      <c r="C107" s="38">
        <v>462578104758</v>
      </c>
      <c r="D107" s="38">
        <v>281765921952</v>
      </c>
      <c r="E107" s="38">
        <v>639701164511</v>
      </c>
      <c r="F107" s="30">
        <f t="shared" si="8"/>
        <v>0.28265101399997661</v>
      </c>
      <c r="G107" s="38">
        <v>187917258688</v>
      </c>
      <c r="H107" s="38">
        <v>686698421105</v>
      </c>
      <c r="I107" s="38">
        <v>360</v>
      </c>
      <c r="J107" s="34">
        <f t="shared" si="3"/>
        <v>98.515172087946169</v>
      </c>
      <c r="K107" s="6">
        <f>32748003105+7958618720</f>
        <v>40706621825</v>
      </c>
      <c r="L107" s="6">
        <f>135516545657+1572020017</f>
        <v>137088565674</v>
      </c>
      <c r="M107" s="38">
        <v>901909489240</v>
      </c>
      <c r="N107" s="34">
        <f t="shared" si="4"/>
        <v>54.719330743738702</v>
      </c>
      <c r="O107" s="34">
        <f t="shared" si="5"/>
        <v>14.974123013212949</v>
      </c>
      <c r="P107" s="30">
        <f t="shared" si="6"/>
        <v>138.2603798184719</v>
      </c>
      <c r="Q107" s="38">
        <v>132953556301</v>
      </c>
      <c r="R107" s="144">
        <v>146069098161</v>
      </c>
      <c r="S107" s="30">
        <f t="shared" si="1"/>
        <v>-13115541860</v>
      </c>
      <c r="T107" s="38">
        <v>293073984034</v>
      </c>
      <c r="U107" s="38">
        <v>346627180477</v>
      </c>
      <c r="V107" s="32">
        <f t="shared" si="2"/>
        <v>0.84550202794453544</v>
      </c>
      <c r="W107" s="1"/>
      <c r="X107" s="1"/>
      <c r="Y107" s="1"/>
      <c r="Z107" s="1"/>
    </row>
    <row r="108" spans="1:26" ht="15.75" customHeight="1">
      <c r="A108" s="1"/>
      <c r="B108" s="9" t="s">
        <v>117</v>
      </c>
      <c r="C108" s="6"/>
      <c r="D108" s="6"/>
      <c r="E108" s="6"/>
      <c r="F108" s="30" t="e">
        <f t="shared" si="8"/>
        <v>#DIV/0!</v>
      </c>
      <c r="G108" s="6"/>
      <c r="H108" s="6"/>
      <c r="I108" s="6"/>
      <c r="J108" s="34" t="e">
        <f t="shared" si="3"/>
        <v>#DIV/0!</v>
      </c>
      <c r="K108" s="6"/>
      <c r="L108" s="6"/>
      <c r="M108" s="6"/>
      <c r="N108" s="34" t="e">
        <f t="shared" si="4"/>
        <v>#DIV/0!</v>
      </c>
      <c r="O108" s="34" t="e">
        <f t="shared" si="5"/>
        <v>#DIV/0!</v>
      </c>
      <c r="P108" s="30" t="e">
        <f t="shared" si="6"/>
        <v>#DIV/0!</v>
      </c>
      <c r="Q108" s="6"/>
      <c r="R108" s="94"/>
      <c r="S108" s="30">
        <f t="shared" si="1"/>
        <v>0</v>
      </c>
      <c r="T108" s="6"/>
      <c r="U108" s="6"/>
      <c r="V108" s="32" t="e">
        <f t="shared" si="2"/>
        <v>#DIV/0!</v>
      </c>
      <c r="W108" s="1"/>
      <c r="X108" s="1"/>
      <c r="Y108" s="1"/>
      <c r="Z108" s="1"/>
    </row>
    <row r="109" spans="1:26" ht="15.75" customHeight="1">
      <c r="A109" s="1"/>
      <c r="B109" s="36" t="s">
        <v>118</v>
      </c>
      <c r="C109" s="38">
        <v>79300156166</v>
      </c>
      <c r="D109" s="38">
        <v>89438951168</v>
      </c>
      <c r="E109" s="38">
        <v>92041274561</v>
      </c>
      <c r="F109" s="30">
        <f t="shared" si="8"/>
        <v>-0.11015487399927902</v>
      </c>
      <c r="G109" s="38">
        <v>38275037492</v>
      </c>
      <c r="H109" s="38">
        <v>103774178864</v>
      </c>
      <c r="I109" s="38">
        <v>360</v>
      </c>
      <c r="J109" s="34">
        <f t="shared" si="3"/>
        <v>132.77882463592334</v>
      </c>
      <c r="K109" s="38">
        <v>19324511990</v>
      </c>
      <c r="L109" s="38">
        <v>15142829214</v>
      </c>
      <c r="M109" s="38">
        <v>172109865924</v>
      </c>
      <c r="N109" s="34">
        <f t="shared" si="4"/>
        <v>31.674061726637035</v>
      </c>
      <c r="O109" s="34">
        <f t="shared" si="5"/>
        <v>11.682346354190416</v>
      </c>
      <c r="P109" s="30">
        <f t="shared" si="6"/>
        <v>152.77054000836995</v>
      </c>
      <c r="Q109" s="38">
        <v>11365108955</v>
      </c>
      <c r="R109" s="94">
        <v>16156543877</v>
      </c>
      <c r="S109" s="30">
        <f t="shared" si="1"/>
        <v>-4791434922</v>
      </c>
      <c r="T109" s="38">
        <v>189216746183</v>
      </c>
      <c r="U109" s="38">
        <v>97175417622</v>
      </c>
      <c r="V109" s="32">
        <f t="shared" si="2"/>
        <v>1.9471667919043996</v>
      </c>
      <c r="W109" s="1"/>
      <c r="X109" s="1"/>
      <c r="Y109" s="1"/>
      <c r="Z109" s="1"/>
    </row>
    <row r="110" spans="1:26" ht="15.75" customHeight="1">
      <c r="A110" s="1"/>
      <c r="B110" s="36" t="s">
        <v>119</v>
      </c>
      <c r="C110" s="38">
        <v>533900133</v>
      </c>
      <c r="D110" s="38">
        <v>207734690</v>
      </c>
      <c r="E110" s="38">
        <v>804742917</v>
      </c>
      <c r="F110" s="30">
        <f t="shared" si="8"/>
        <v>0.40530390030136793</v>
      </c>
      <c r="G110" s="38">
        <v>324917517</v>
      </c>
      <c r="H110" s="38">
        <v>568351159</v>
      </c>
      <c r="I110" s="38">
        <v>360</v>
      </c>
      <c r="J110" s="34">
        <f t="shared" si="3"/>
        <v>205.80640026459417</v>
      </c>
      <c r="K110" s="6">
        <f>94621974+29003136</f>
        <v>123625110</v>
      </c>
      <c r="L110" s="6">
        <f>31799752+2055397</f>
        <v>33855149</v>
      </c>
      <c r="M110" s="38">
        <v>999802379</v>
      </c>
      <c r="N110" s="34">
        <f t="shared" si="4"/>
        <v>12.190262691903436</v>
      </c>
      <c r="O110" s="34">
        <f t="shared" si="5"/>
        <v>6.9689835636122996</v>
      </c>
      <c r="P110" s="30">
        <f t="shared" si="6"/>
        <v>211.02767939288529</v>
      </c>
      <c r="Q110" s="38">
        <v>210554437</v>
      </c>
      <c r="R110" s="94">
        <v>274047093</v>
      </c>
      <c r="S110" s="30">
        <f t="shared" si="1"/>
        <v>-63492656</v>
      </c>
      <c r="T110" s="38">
        <v>247587638</v>
      </c>
      <c r="U110" s="38">
        <v>557155279</v>
      </c>
      <c r="V110" s="32">
        <f t="shared" si="2"/>
        <v>0.44437816050918189</v>
      </c>
      <c r="W110" s="1"/>
      <c r="X110" s="1"/>
      <c r="Y110" s="1"/>
      <c r="Z110" s="1"/>
    </row>
    <row r="111" spans="1:26" ht="15.75" customHeight="1">
      <c r="A111" s="1"/>
      <c r="B111" s="13" t="s">
        <v>120</v>
      </c>
      <c r="C111" s="6"/>
      <c r="D111" s="6"/>
      <c r="E111" s="6"/>
      <c r="F111" s="30" t="e">
        <f t="shared" si="8"/>
        <v>#DIV/0!</v>
      </c>
      <c r="G111" s="6"/>
      <c r="H111" s="6"/>
      <c r="I111" s="6"/>
      <c r="J111" s="34" t="e">
        <f t="shared" si="3"/>
        <v>#DIV/0!</v>
      </c>
      <c r="K111" s="6"/>
      <c r="L111" s="6"/>
      <c r="M111" s="6"/>
      <c r="N111" s="34" t="e">
        <f t="shared" si="4"/>
        <v>#DIV/0!</v>
      </c>
      <c r="O111" s="34" t="e">
        <f t="shared" si="5"/>
        <v>#DIV/0!</v>
      </c>
      <c r="P111" s="30" t="e">
        <f t="shared" si="6"/>
        <v>#DIV/0!</v>
      </c>
      <c r="Q111" s="6"/>
      <c r="R111" s="94"/>
      <c r="S111" s="30">
        <f t="shared" si="1"/>
        <v>0</v>
      </c>
      <c r="T111" s="6"/>
      <c r="U111" s="6"/>
      <c r="V111" s="32" t="e">
        <f t="shared" si="2"/>
        <v>#DIV/0!</v>
      </c>
      <c r="W111" s="1"/>
      <c r="X111" s="1"/>
      <c r="Y111" s="1"/>
      <c r="Z111" s="1"/>
    </row>
    <row r="112" spans="1:26" ht="15.75" customHeight="1">
      <c r="A112" s="1"/>
      <c r="B112" s="36" t="s">
        <v>121</v>
      </c>
      <c r="C112" s="38">
        <v>1131735197</v>
      </c>
      <c r="D112" s="38">
        <v>992544784</v>
      </c>
      <c r="E112" s="38">
        <v>1587210576</v>
      </c>
      <c r="F112" s="30">
        <f t="shared" si="8"/>
        <v>8.7694988368071464E-2</v>
      </c>
      <c r="G112" s="38">
        <v>389385675</v>
      </c>
      <c r="H112" s="38">
        <v>1689088200</v>
      </c>
      <c r="I112" s="38">
        <v>360</v>
      </c>
      <c r="J112" s="34">
        <f t="shared" si="3"/>
        <v>82.990836712967379</v>
      </c>
      <c r="K112" s="6">
        <f>223924493+19832604</f>
        <v>243757097</v>
      </c>
      <c r="L112" s="6">
        <f>437336193+88753865</f>
        <v>526090058</v>
      </c>
      <c r="M112" s="38">
        <v>2037784842</v>
      </c>
      <c r="N112" s="34">
        <f t="shared" si="4"/>
        <v>92.940342364171926</v>
      </c>
      <c r="O112" s="34">
        <f t="shared" si="5"/>
        <v>21.425546603311879</v>
      </c>
      <c r="P112" s="30">
        <f t="shared" si="6"/>
        <v>154.5056324738274</v>
      </c>
      <c r="Q112" s="38">
        <v>408722055</v>
      </c>
      <c r="R112" s="94">
        <v>430971512</v>
      </c>
      <c r="S112" s="30">
        <f t="shared" si="1"/>
        <v>-22249457</v>
      </c>
      <c r="T112" s="38">
        <v>1116872234</v>
      </c>
      <c r="U112" s="38">
        <v>470338342</v>
      </c>
      <c r="V112" s="32">
        <f t="shared" si="2"/>
        <v>2.3746144727448142</v>
      </c>
      <c r="W112" s="1"/>
      <c r="X112" s="1"/>
      <c r="Y112" s="1"/>
      <c r="Z112" s="1"/>
    </row>
    <row r="113" spans="1:26" ht="15.75" customHeight="1">
      <c r="A113" s="1"/>
      <c r="B113" s="36" t="s">
        <v>122</v>
      </c>
      <c r="C113" s="38">
        <v>394738153988</v>
      </c>
      <c r="D113" s="38">
        <v>303264273023</v>
      </c>
      <c r="E113" s="38">
        <v>639091366917</v>
      </c>
      <c r="F113" s="30">
        <f t="shared" si="8"/>
        <v>0.14313114790812045</v>
      </c>
      <c r="G113" s="38">
        <v>153138363028</v>
      </c>
      <c r="H113" s="38">
        <v>884704931071</v>
      </c>
      <c r="I113" s="38">
        <v>360</v>
      </c>
      <c r="J113" s="34">
        <f t="shared" si="3"/>
        <v>62.314347703862495</v>
      </c>
      <c r="K113" s="6">
        <f>205705142698+27200263649</f>
        <v>232905406347</v>
      </c>
      <c r="L113" s="6">
        <f>53012662403+77007482386</f>
        <v>130020144789</v>
      </c>
      <c r="M113" s="38">
        <v>987409109474</v>
      </c>
      <c r="N113" s="34">
        <f t="shared" si="4"/>
        <v>47.404112110100506</v>
      </c>
      <c r="O113" s="34">
        <f t="shared" si="5"/>
        <v>8.2054342350602276</v>
      </c>
      <c r="P113" s="30">
        <f t="shared" si="6"/>
        <v>101.51302557890277</v>
      </c>
      <c r="Q113" s="38">
        <v>244138597496</v>
      </c>
      <c r="R113" s="94">
        <v>292107971435</v>
      </c>
      <c r="S113" s="30">
        <f t="shared" si="1"/>
        <v>-47969373939</v>
      </c>
      <c r="T113" s="38">
        <v>318436089653</v>
      </c>
      <c r="U113" s="38">
        <v>320655277264</v>
      </c>
      <c r="V113" s="32">
        <f t="shared" si="2"/>
        <v>0.99307921070273575</v>
      </c>
      <c r="W113" s="1"/>
      <c r="X113" s="1"/>
      <c r="Y113" s="1"/>
      <c r="Z113" s="1"/>
    </row>
    <row r="114" spans="1:26" ht="15.75" customHeight="1">
      <c r="A114" s="1"/>
      <c r="B114" s="36" t="s">
        <v>123</v>
      </c>
      <c r="C114" s="38">
        <v>1223453184817</v>
      </c>
      <c r="D114" s="38">
        <v>358715994083</v>
      </c>
      <c r="E114" s="38">
        <v>1871422416044</v>
      </c>
      <c r="F114" s="30">
        <f t="shared" si="8"/>
        <v>0.46207482785311937</v>
      </c>
      <c r="G114" s="38">
        <v>320647452877</v>
      </c>
      <c r="H114" s="38">
        <v>2278127648753</v>
      </c>
      <c r="I114" s="38">
        <v>360</v>
      </c>
      <c r="J114" s="34">
        <f t="shared" si="3"/>
        <v>50.670155861944643</v>
      </c>
      <c r="K114" s="6">
        <f>3953643555+198665055462</f>
        <v>202618699017</v>
      </c>
      <c r="L114" s="38">
        <v>529785330337</v>
      </c>
      <c r="M114" s="38">
        <v>2812196217447</v>
      </c>
      <c r="N114" s="34">
        <f t="shared" si="4"/>
        <v>67.819847611652108</v>
      </c>
      <c r="O114" s="34">
        <f t="shared" si="5"/>
        <v>9.5456729139326288</v>
      </c>
      <c r="P114" s="30">
        <f t="shared" si="6"/>
        <v>108.94433055966411</v>
      </c>
      <c r="Q114" s="38">
        <v>560534774701</v>
      </c>
      <c r="R114" s="94">
        <v>590237167370</v>
      </c>
      <c r="S114" s="30">
        <f t="shared" si="1"/>
        <v>-29702392669</v>
      </c>
      <c r="T114" s="38">
        <v>550076575595</v>
      </c>
      <c r="U114" s="38">
        <v>1321345840449</v>
      </c>
      <c r="V114" s="32">
        <f t="shared" si="2"/>
        <v>0.41630022871838096</v>
      </c>
      <c r="W114" s="1"/>
      <c r="X114" s="1"/>
      <c r="Y114" s="1"/>
      <c r="Z114" s="1"/>
    </row>
    <row r="115" spans="1:26" ht="15.75" customHeight="1">
      <c r="A115" s="1"/>
      <c r="B115" s="36" t="s">
        <v>124</v>
      </c>
      <c r="C115" s="38">
        <v>49611456</v>
      </c>
      <c r="D115" s="38">
        <v>9031896</v>
      </c>
      <c r="E115" s="38">
        <v>81806174</v>
      </c>
      <c r="F115" s="30">
        <f t="shared" si="8"/>
        <v>0.4960452006959768</v>
      </c>
      <c r="G115" s="38">
        <v>14922410</v>
      </c>
      <c r="H115" s="38">
        <v>116947069</v>
      </c>
      <c r="I115" s="38">
        <v>360</v>
      </c>
      <c r="J115" s="34">
        <f t="shared" si="3"/>
        <v>45.935889167089769</v>
      </c>
      <c r="K115" s="6">
        <f>5721585+7289191</f>
        <v>13010776</v>
      </c>
      <c r="L115" s="6">
        <f>2263730+3707898</f>
        <v>5971628</v>
      </c>
      <c r="M115" s="38">
        <v>128964350</v>
      </c>
      <c r="N115" s="34">
        <f t="shared" si="4"/>
        <v>16.669615130072767</v>
      </c>
      <c r="O115" s="34">
        <f t="shared" si="5"/>
        <v>2.1270377585362925</v>
      </c>
      <c r="P115" s="30">
        <f t="shared" si="6"/>
        <v>60.47846653862625</v>
      </c>
      <c r="Q115" s="38">
        <v>23946450</v>
      </c>
      <c r="R115" s="94">
        <v>23832561</v>
      </c>
      <c r="S115" s="30">
        <f t="shared" si="1"/>
        <v>113889</v>
      </c>
      <c r="T115" s="38">
        <v>15848424</v>
      </c>
      <c r="U115" s="38">
        <v>65957750</v>
      </c>
      <c r="V115" s="32">
        <f t="shared" si="2"/>
        <v>0.24028145289977296</v>
      </c>
      <c r="W115" s="1"/>
      <c r="X115" s="1"/>
      <c r="Y115" s="1"/>
      <c r="Z115" s="1"/>
    </row>
    <row r="116" spans="1:26" ht="15.75" customHeight="1">
      <c r="A116" s="1"/>
      <c r="B116" s="36" t="s">
        <v>125</v>
      </c>
      <c r="C116" s="38">
        <v>2019188845621</v>
      </c>
      <c r="D116" s="38">
        <v>1195158412670</v>
      </c>
      <c r="E116" s="38">
        <v>2449935491586</v>
      </c>
      <c r="F116" s="30">
        <f t="shared" si="8"/>
        <v>0.33634780825088273</v>
      </c>
      <c r="G116" s="38">
        <v>355622092371</v>
      </c>
      <c r="H116" s="38">
        <v>2818357856006</v>
      </c>
      <c r="I116" s="38">
        <v>360</v>
      </c>
      <c r="J116" s="34">
        <f t="shared" si="3"/>
        <v>45.425016905052473</v>
      </c>
      <c r="K116" s="6">
        <f>413892451657+131078521500</f>
        <v>544970973157</v>
      </c>
      <c r="L116" s="6">
        <f>213425342795+376319847008</f>
        <v>589745189803</v>
      </c>
      <c r="M116" s="38">
        <v>3378572000577</v>
      </c>
      <c r="N116" s="34">
        <f t="shared" si="4"/>
        <v>62.839645948886542</v>
      </c>
      <c r="O116" s="34">
        <f t="shared" si="5"/>
        <v>7.9291443875991208</v>
      </c>
      <c r="P116" s="30">
        <f t="shared" si="6"/>
        <v>100.33551846633989</v>
      </c>
      <c r="Q116" s="38">
        <v>322517672904</v>
      </c>
      <c r="R116" s="94">
        <v>392226892012</v>
      </c>
      <c r="S116" s="30">
        <f t="shared" si="1"/>
        <v>-69709219108</v>
      </c>
      <c r="T116" s="38">
        <v>1229514818362</v>
      </c>
      <c r="U116" s="38">
        <v>1220420673224</v>
      </c>
      <c r="V116" s="32">
        <f t="shared" si="2"/>
        <v>1.0074516478928335</v>
      </c>
      <c r="W116" s="1"/>
      <c r="X116" s="1"/>
      <c r="Y116" s="1"/>
      <c r="Z116" s="1"/>
    </row>
    <row r="117" spans="1:26" ht="15.75" customHeight="1">
      <c r="A117" s="1"/>
      <c r="B117" s="36" t="s">
        <v>126</v>
      </c>
      <c r="C117" s="38">
        <v>1291317</v>
      </c>
      <c r="D117" s="38">
        <v>968323</v>
      </c>
      <c r="E117" s="38">
        <v>441956</v>
      </c>
      <c r="F117" s="30">
        <f t="shared" si="8"/>
        <v>0.73082840825783557</v>
      </c>
      <c r="G117" s="38">
        <v>209538</v>
      </c>
      <c r="H117" s="38">
        <v>1549155</v>
      </c>
      <c r="I117" s="38">
        <v>360</v>
      </c>
      <c r="J117" s="34">
        <f t="shared" si="3"/>
        <v>48.693436099034642</v>
      </c>
      <c r="K117" s="6">
        <f>459124+13525</f>
        <v>472649</v>
      </c>
      <c r="L117" s="6">
        <f>606260+46136</f>
        <v>652396</v>
      </c>
      <c r="M117" s="38">
        <v>2022350</v>
      </c>
      <c r="N117" s="34">
        <f t="shared" si="4"/>
        <v>116.13348826859843</v>
      </c>
      <c r="O117" s="34">
        <f t="shared" si="5"/>
        <v>15.708162749902741</v>
      </c>
      <c r="P117" s="30">
        <f t="shared" si="6"/>
        <v>149.11876161773034</v>
      </c>
      <c r="Q117" s="38">
        <v>294724</v>
      </c>
      <c r="R117" s="94">
        <v>451212357660</v>
      </c>
      <c r="S117" s="30">
        <f t="shared" si="1"/>
        <v>-451212062936</v>
      </c>
      <c r="T117" s="38">
        <v>999167</v>
      </c>
      <c r="U117" s="38">
        <v>669044</v>
      </c>
      <c r="V117" s="32">
        <f t="shared" si="2"/>
        <v>1.4934249466402807</v>
      </c>
      <c r="W117" s="1"/>
      <c r="X117" s="1"/>
      <c r="Y117" s="1"/>
      <c r="Z117" s="1"/>
    </row>
    <row r="118" spans="1:26" ht="15.75" customHeight="1">
      <c r="A118" s="1"/>
      <c r="B118" s="13" t="s">
        <v>127</v>
      </c>
      <c r="C118" s="6"/>
      <c r="D118" s="6"/>
      <c r="E118" s="6"/>
      <c r="F118" s="30" t="e">
        <f t="shared" si="8"/>
        <v>#DIV/0!</v>
      </c>
      <c r="G118" s="6"/>
      <c r="H118" s="6"/>
      <c r="I118" s="6"/>
      <c r="J118" s="34" t="e">
        <f t="shared" si="3"/>
        <v>#DIV/0!</v>
      </c>
      <c r="K118" s="6"/>
      <c r="L118" s="6"/>
      <c r="M118" s="6"/>
      <c r="N118" s="34" t="e">
        <f t="shared" si="4"/>
        <v>#DIV/0!</v>
      </c>
      <c r="O118" s="34" t="e">
        <f t="shared" si="5"/>
        <v>#DIV/0!</v>
      </c>
      <c r="P118" s="30" t="e">
        <f t="shared" si="6"/>
        <v>#DIV/0!</v>
      </c>
      <c r="Q118" s="6"/>
      <c r="R118" s="94"/>
      <c r="S118" s="30">
        <f t="shared" si="1"/>
        <v>0</v>
      </c>
      <c r="T118" s="6"/>
      <c r="U118" s="6"/>
      <c r="V118" s="32" t="e">
        <f t="shared" si="2"/>
        <v>#DIV/0!</v>
      </c>
      <c r="W118" s="1"/>
      <c r="X118" s="1"/>
      <c r="Y118" s="1"/>
      <c r="Z118" s="1"/>
    </row>
    <row r="119" spans="1:26" ht="15.75" customHeight="1">
      <c r="A119" s="1"/>
      <c r="B119" s="36" t="s">
        <v>128</v>
      </c>
      <c r="C119" s="38">
        <v>32635509</v>
      </c>
      <c r="D119" s="38">
        <v>12657515</v>
      </c>
      <c r="E119" s="38">
        <v>66020153</v>
      </c>
      <c r="F119" s="30">
        <f t="shared" si="8"/>
        <v>0.30260447896871734</v>
      </c>
      <c r="G119" s="38">
        <v>11468865</v>
      </c>
      <c r="H119" s="38">
        <v>74150547</v>
      </c>
      <c r="I119" s="38">
        <v>360</v>
      </c>
      <c r="J119" s="34">
        <f t="shared" si="3"/>
        <v>55.681199492702326</v>
      </c>
      <c r="K119" s="38">
        <v>10021949</v>
      </c>
      <c r="L119" s="38">
        <v>10647358</v>
      </c>
      <c r="M119" s="38">
        <v>83049100</v>
      </c>
      <c r="N119" s="34">
        <f t="shared" si="4"/>
        <v>46.154008652712676</v>
      </c>
      <c r="O119" s="34">
        <f t="shared" si="5"/>
        <v>7.1386404532766772</v>
      </c>
      <c r="P119" s="30">
        <f t="shared" si="6"/>
        <v>94.696567692138331</v>
      </c>
      <c r="Q119" s="38">
        <v>32954656</v>
      </c>
      <c r="R119" s="94">
        <v>33480448</v>
      </c>
      <c r="S119" s="30">
        <f t="shared" si="1"/>
        <v>-525792</v>
      </c>
      <c r="T119" s="38">
        <v>15725467</v>
      </c>
      <c r="U119" s="38">
        <v>50294686</v>
      </c>
      <c r="V119" s="32">
        <f t="shared" si="2"/>
        <v>0.31266657077847149</v>
      </c>
      <c r="W119" s="1"/>
      <c r="X119" s="1"/>
      <c r="Y119" s="1"/>
      <c r="Z119" s="1"/>
    </row>
    <row r="120" spans="1:26" ht="15.75" customHeight="1">
      <c r="A120" s="1"/>
      <c r="B120" s="14"/>
      <c r="C120" s="15"/>
      <c r="D120" s="15"/>
      <c r="E120" s="15"/>
      <c r="F120" s="30" t="e">
        <f t="shared" si="8"/>
        <v>#DIV/0!</v>
      </c>
      <c r="G120" s="15"/>
      <c r="H120" s="15"/>
      <c r="I120" s="15"/>
      <c r="J120" s="34" t="e">
        <f t="shared" si="3"/>
        <v>#DIV/0!</v>
      </c>
      <c r="K120" s="15"/>
      <c r="L120" s="15"/>
      <c r="M120" s="15"/>
      <c r="N120" s="34" t="e">
        <f t="shared" si="4"/>
        <v>#DIV/0!</v>
      </c>
      <c r="O120" s="34" t="e">
        <f t="shared" si="5"/>
        <v>#DIV/0!</v>
      </c>
      <c r="P120" s="30" t="e">
        <f t="shared" si="6"/>
        <v>#DIV/0!</v>
      </c>
      <c r="Q120" s="15"/>
      <c r="R120" s="152"/>
      <c r="S120" s="30">
        <f t="shared" si="1"/>
        <v>0</v>
      </c>
      <c r="T120" s="15"/>
      <c r="U120" s="15"/>
      <c r="V120" s="32" t="e">
        <f t="shared" si="2"/>
        <v>#DIV/0!</v>
      </c>
      <c r="W120" s="1"/>
      <c r="X120" s="1"/>
      <c r="Y120" s="1"/>
      <c r="Z120" s="1"/>
    </row>
    <row r="121" spans="1:26" ht="15.75" customHeight="1">
      <c r="A121" s="1"/>
      <c r="B121" s="17"/>
      <c r="C121" s="18"/>
      <c r="D121" s="18"/>
      <c r="E121" s="18"/>
      <c r="F121" s="30" t="e">
        <f t="shared" si="8"/>
        <v>#DIV/0!</v>
      </c>
      <c r="G121" s="18"/>
      <c r="H121" s="18"/>
      <c r="I121" s="18"/>
      <c r="J121" s="34" t="e">
        <f t="shared" si="3"/>
        <v>#DIV/0!</v>
      </c>
      <c r="K121" s="18"/>
      <c r="L121" s="18"/>
      <c r="M121" s="18"/>
      <c r="N121" s="34" t="e">
        <f t="shared" si="4"/>
        <v>#DIV/0!</v>
      </c>
      <c r="O121" s="34" t="e">
        <f t="shared" si="5"/>
        <v>#DIV/0!</v>
      </c>
      <c r="P121" s="30" t="e">
        <f t="shared" si="6"/>
        <v>#DIV/0!</v>
      </c>
      <c r="Q121" s="18"/>
      <c r="R121" s="153"/>
      <c r="S121" s="30">
        <f t="shared" si="1"/>
        <v>0</v>
      </c>
      <c r="T121" s="18"/>
      <c r="U121" s="18"/>
      <c r="V121" s="32" t="e">
        <f t="shared" si="2"/>
        <v>#DIV/0!</v>
      </c>
      <c r="W121" s="1"/>
      <c r="X121" s="1"/>
      <c r="Y121" s="1"/>
      <c r="Z121" s="1"/>
    </row>
    <row r="122" spans="1:26" ht="15.75" customHeight="1">
      <c r="A122" s="1"/>
      <c r="B122" s="20" t="s">
        <v>129</v>
      </c>
      <c r="C122" s="6"/>
      <c r="D122" s="6"/>
      <c r="E122" s="6"/>
      <c r="F122" s="30" t="e">
        <f t="shared" si="8"/>
        <v>#DIV/0!</v>
      </c>
      <c r="G122" s="6"/>
      <c r="H122" s="6"/>
      <c r="I122" s="6"/>
      <c r="J122" s="34" t="e">
        <f t="shared" si="3"/>
        <v>#DIV/0!</v>
      </c>
      <c r="K122" s="6"/>
      <c r="L122" s="6"/>
      <c r="M122" s="6"/>
      <c r="N122" s="34" t="e">
        <f t="shared" si="4"/>
        <v>#DIV/0!</v>
      </c>
      <c r="O122" s="34" t="e">
        <f t="shared" si="5"/>
        <v>#DIV/0!</v>
      </c>
      <c r="P122" s="30" t="e">
        <f t="shared" si="6"/>
        <v>#DIV/0!</v>
      </c>
      <c r="Q122" s="6"/>
      <c r="R122" s="94"/>
      <c r="S122" s="30">
        <f t="shared" si="1"/>
        <v>0</v>
      </c>
      <c r="T122" s="6"/>
      <c r="U122" s="6"/>
      <c r="V122" s="32" t="e">
        <f t="shared" si="2"/>
        <v>#DIV/0!</v>
      </c>
      <c r="W122" s="1"/>
      <c r="X122" s="1"/>
      <c r="Y122" s="1"/>
      <c r="Z122" s="1"/>
    </row>
    <row r="123" spans="1:26" ht="15.75" customHeight="1">
      <c r="A123" s="1"/>
      <c r="B123" s="5" t="s">
        <v>130</v>
      </c>
      <c r="C123" s="6"/>
      <c r="D123" s="6"/>
      <c r="E123" s="6"/>
      <c r="F123" s="30" t="e">
        <f t="shared" si="8"/>
        <v>#DIV/0!</v>
      </c>
      <c r="G123" s="6"/>
      <c r="H123" s="6"/>
      <c r="I123" s="6"/>
      <c r="J123" s="34" t="e">
        <f t="shared" si="3"/>
        <v>#DIV/0!</v>
      </c>
      <c r="K123" s="6"/>
      <c r="L123" s="6"/>
      <c r="M123" s="6"/>
      <c r="N123" s="34" t="e">
        <f t="shared" si="4"/>
        <v>#DIV/0!</v>
      </c>
      <c r="O123" s="34" t="e">
        <f t="shared" si="5"/>
        <v>#DIV/0!</v>
      </c>
      <c r="P123" s="30" t="e">
        <f t="shared" si="6"/>
        <v>#DIV/0!</v>
      </c>
      <c r="Q123" s="6"/>
      <c r="R123" s="94"/>
      <c r="S123" s="30">
        <f t="shared" si="1"/>
        <v>0</v>
      </c>
      <c r="T123" s="6"/>
      <c r="U123" s="6"/>
      <c r="V123" s="32" t="e">
        <f t="shared" si="2"/>
        <v>#DIV/0!</v>
      </c>
      <c r="W123" s="1"/>
      <c r="X123" s="1"/>
      <c r="Y123" s="1"/>
      <c r="Z123" s="1"/>
    </row>
    <row r="124" spans="1:26" ht="15.75" customHeight="1">
      <c r="A124" s="1"/>
      <c r="B124" s="36" t="s">
        <v>131</v>
      </c>
      <c r="C124" s="38">
        <v>1048133697</v>
      </c>
      <c r="D124" s="38">
        <v>137842096</v>
      </c>
      <c r="E124" s="38">
        <v>1197796650</v>
      </c>
      <c r="F124" s="30">
        <f t="shared" si="8"/>
        <v>0.75997173727276668</v>
      </c>
      <c r="G124" s="38">
        <v>183868498</v>
      </c>
      <c r="H124" s="38">
        <v>234086288</v>
      </c>
      <c r="I124" s="38">
        <v>360</v>
      </c>
      <c r="J124" s="34">
        <f t="shared" si="3"/>
        <v>282.77034014055533</v>
      </c>
      <c r="K124" s="6">
        <f>1269421+28172802</f>
        <v>29442223</v>
      </c>
      <c r="L124" s="6">
        <f>56301+148351045</f>
        <v>148407346</v>
      </c>
      <c r="M124" s="38">
        <v>744968268</v>
      </c>
      <c r="N124" s="34">
        <f t="shared" si="4"/>
        <v>71.7166715079467</v>
      </c>
      <c r="O124" s="34">
        <f t="shared" si="5"/>
        <v>56.331521100140449</v>
      </c>
      <c r="P124" s="30">
        <f t="shared" si="6"/>
        <v>298.15549054836163</v>
      </c>
      <c r="Q124" s="38">
        <v>96275498</v>
      </c>
      <c r="R124" s="94">
        <v>136315083</v>
      </c>
      <c r="S124" s="30">
        <f t="shared" si="1"/>
        <v>-40039585</v>
      </c>
      <c r="T124" s="38">
        <v>185422642</v>
      </c>
      <c r="U124" s="38">
        <v>1012374008</v>
      </c>
      <c r="V124" s="32">
        <f t="shared" si="2"/>
        <v>0.18315626491271988</v>
      </c>
      <c r="W124" s="1"/>
      <c r="X124" s="1"/>
      <c r="Y124" s="1"/>
      <c r="Z124" s="1"/>
    </row>
    <row r="125" spans="1:26" ht="15.75" customHeight="1">
      <c r="A125" s="1"/>
      <c r="B125" s="36" t="s">
        <v>132</v>
      </c>
      <c r="C125" s="38">
        <v>15571362</v>
      </c>
      <c r="D125" s="38">
        <v>6469785</v>
      </c>
      <c r="E125" s="38">
        <v>28901948</v>
      </c>
      <c r="F125" s="30">
        <f t="shared" si="8"/>
        <v>0.31491223359754161</v>
      </c>
      <c r="G125" s="38">
        <v>3109916</v>
      </c>
      <c r="H125" s="38">
        <v>23606755</v>
      </c>
      <c r="I125" s="38">
        <v>360</v>
      </c>
      <c r="J125" s="34">
        <f t="shared" si="3"/>
        <v>47.425821973413967</v>
      </c>
      <c r="K125" s="6">
        <f>1902886+789463</f>
        <v>2692349</v>
      </c>
      <c r="L125" s="6">
        <f>984573+2736633</f>
        <v>3721206</v>
      </c>
      <c r="M125" s="38">
        <v>34375236</v>
      </c>
      <c r="N125" s="34">
        <f t="shared" si="4"/>
        <v>38.970908010638823</v>
      </c>
      <c r="O125" s="34">
        <f t="shared" si="5"/>
        <v>5.1339648484856921</v>
      </c>
      <c r="P125" s="30">
        <f t="shared" si="6"/>
        <v>81.262765135567108</v>
      </c>
      <c r="Q125" s="38">
        <v>7114288</v>
      </c>
      <c r="R125" s="94">
        <v>12599124</v>
      </c>
      <c r="S125" s="30">
        <f t="shared" si="1"/>
        <v>-5484836</v>
      </c>
      <c r="T125" s="38">
        <v>10401125</v>
      </c>
      <c r="U125" s="38">
        <v>18500823</v>
      </c>
      <c r="V125" s="32">
        <f t="shared" si="2"/>
        <v>0.56219796276089984</v>
      </c>
      <c r="W125" s="1"/>
      <c r="X125" s="1"/>
      <c r="Y125" s="1"/>
      <c r="Z125" s="1"/>
    </row>
    <row r="126" spans="1:26" ht="15.75" customHeight="1">
      <c r="A126" s="1"/>
      <c r="B126" s="36" t="s">
        <v>133</v>
      </c>
      <c r="C126" s="38">
        <v>28985443</v>
      </c>
      <c r="D126" s="38">
        <v>19219441</v>
      </c>
      <c r="E126" s="38">
        <v>82174515</v>
      </c>
      <c r="F126" s="30">
        <f t="shared" si="8"/>
        <v>0.11884465639985828</v>
      </c>
      <c r="G126" s="38">
        <v>8469821</v>
      </c>
      <c r="H126" s="38">
        <v>47321877</v>
      </c>
      <c r="I126" s="38">
        <v>360</v>
      </c>
      <c r="J126" s="34">
        <f t="shared" si="3"/>
        <v>64.433952186638749</v>
      </c>
      <c r="K126" s="6">
        <f>2964533+573340</f>
        <v>3537873</v>
      </c>
      <c r="L126" s="6">
        <f>3729640+887206</f>
        <v>4616846</v>
      </c>
      <c r="M126" s="38">
        <v>66659484</v>
      </c>
      <c r="N126" s="34">
        <f t="shared" si="4"/>
        <v>24.933654751962976</v>
      </c>
      <c r="O126" s="34">
        <f t="shared" si="5"/>
        <v>4.4627053281281679</v>
      </c>
      <c r="P126" s="30">
        <f t="shared" si="6"/>
        <v>84.904901610473559</v>
      </c>
      <c r="Q126" s="38">
        <v>25701913</v>
      </c>
      <c r="R126" s="94">
        <v>49014781</v>
      </c>
      <c r="S126" s="30">
        <f t="shared" si="1"/>
        <v>-23312868</v>
      </c>
      <c r="T126" s="38">
        <v>38233092</v>
      </c>
      <c r="U126" s="38">
        <v>43941423</v>
      </c>
      <c r="V126" s="32">
        <f t="shared" si="2"/>
        <v>0.87009225896029807</v>
      </c>
      <c r="W126" s="1"/>
      <c r="X126" s="1"/>
      <c r="Y126" s="1"/>
      <c r="Z126" s="1"/>
    </row>
    <row r="127" spans="1:26" ht="15.75" customHeight="1">
      <c r="A127" s="1"/>
      <c r="B127" s="36" t="s">
        <v>134</v>
      </c>
      <c r="C127" s="38">
        <v>8739782750141</v>
      </c>
      <c r="D127" s="38">
        <v>3884051319005</v>
      </c>
      <c r="E127" s="38">
        <v>12922421859142</v>
      </c>
      <c r="F127" s="30">
        <f t="shared" si="8"/>
        <v>0.37576016973171328</v>
      </c>
      <c r="G127" s="38">
        <v>2123676041546</v>
      </c>
      <c r="H127" s="38">
        <v>13449537442446</v>
      </c>
      <c r="I127" s="38">
        <v>360</v>
      </c>
      <c r="J127" s="34">
        <f t="shared" si="3"/>
        <v>56.843841524524571</v>
      </c>
      <c r="K127" s="6">
        <f>1292040344652+37592807764</f>
        <v>1329633152416</v>
      </c>
      <c r="L127" s="6">
        <f>422526979032+3941757573221</f>
        <v>4364284552253</v>
      </c>
      <c r="M127" s="38">
        <v>18349959898358</v>
      </c>
      <c r="N127" s="34">
        <f t="shared" si="4"/>
        <v>85.621028466207704</v>
      </c>
      <c r="O127" s="34">
        <f t="shared" si="5"/>
        <v>13.519522703610882</v>
      </c>
      <c r="P127" s="30">
        <f t="shared" si="6"/>
        <v>128.94534728712139</v>
      </c>
      <c r="Q127" s="38">
        <v>3859420029792</v>
      </c>
      <c r="R127" s="94">
        <v>3888368657134</v>
      </c>
      <c r="S127" s="30">
        <f t="shared" si="1"/>
        <v>-28948627342</v>
      </c>
      <c r="T127" s="38">
        <v>6657165872077</v>
      </c>
      <c r="U127" s="38">
        <v>6265255987065</v>
      </c>
      <c r="V127" s="32">
        <f t="shared" si="2"/>
        <v>1.0625528926226033</v>
      </c>
      <c r="W127" s="1"/>
      <c r="X127" s="1"/>
      <c r="Y127" s="1"/>
      <c r="Z127" s="1"/>
    </row>
    <row r="128" spans="1:26" ht="15.75" customHeight="1">
      <c r="A128" s="1"/>
      <c r="B128" s="36" t="s">
        <v>135</v>
      </c>
      <c r="C128" s="38">
        <v>901258</v>
      </c>
      <c r="D128" s="38">
        <v>1326261</v>
      </c>
      <c r="E128" s="38">
        <v>2275038</v>
      </c>
      <c r="F128" s="30">
        <f t="shared" si="8"/>
        <v>-0.18681138512851214</v>
      </c>
      <c r="G128" s="38">
        <v>138137</v>
      </c>
      <c r="H128" s="38">
        <v>1115567</v>
      </c>
      <c r="I128" s="38">
        <v>360</v>
      </c>
      <c r="J128" s="34">
        <f t="shared" si="3"/>
        <v>44.577618377022624</v>
      </c>
      <c r="K128" s="6">
        <f>114950+4674</f>
        <v>119624</v>
      </c>
      <c r="L128" s="6">
        <f>286846+2734</f>
        <v>289580</v>
      </c>
      <c r="M128" s="38">
        <v>3263311</v>
      </c>
      <c r="N128" s="34">
        <f t="shared" si="4"/>
        <v>31.945714030933612</v>
      </c>
      <c r="O128" s="34">
        <f t="shared" si="5"/>
        <v>3.9557329134790433</v>
      </c>
      <c r="P128" s="30">
        <f t="shared" si="6"/>
        <v>72.567599494477193</v>
      </c>
      <c r="Q128" s="38">
        <v>1278015</v>
      </c>
      <c r="R128" s="94">
        <v>1390898</v>
      </c>
      <c r="S128" s="30">
        <f t="shared" si="1"/>
        <v>-112883</v>
      </c>
      <c r="T128" s="38">
        <v>1454398</v>
      </c>
      <c r="U128" s="38">
        <v>820640</v>
      </c>
      <c r="V128" s="32">
        <f t="shared" si="2"/>
        <v>1.772272860206668</v>
      </c>
      <c r="W128" s="1"/>
      <c r="X128" s="1"/>
      <c r="Y128" s="1"/>
      <c r="Z128" s="1"/>
    </row>
    <row r="129" spans="1:26" ht="15.75" customHeight="1">
      <c r="A129" s="1"/>
      <c r="B129" s="36" t="s">
        <v>136</v>
      </c>
      <c r="C129" s="38">
        <v>949414338057</v>
      </c>
      <c r="D129" s="38">
        <v>320501824382</v>
      </c>
      <c r="E129" s="38">
        <v>2919640858718</v>
      </c>
      <c r="F129" s="30">
        <f t="shared" si="8"/>
        <v>0.21540749157454675</v>
      </c>
      <c r="G129" s="38">
        <v>50746886585</v>
      </c>
      <c r="H129" s="38">
        <v>1220832597005</v>
      </c>
      <c r="I129" s="38">
        <v>360</v>
      </c>
      <c r="J129" s="34">
        <f t="shared" si="3"/>
        <v>14.964278653287939</v>
      </c>
      <c r="K129" s="38">
        <f>110777948813+61675545442</f>
        <v>172453494255</v>
      </c>
      <c r="L129" s="6">
        <f>138850856494+141530530025</f>
        <v>280381386519</v>
      </c>
      <c r="M129" s="38">
        <v>2521920968213</v>
      </c>
      <c r="N129" s="34">
        <f t="shared" si="4"/>
        <v>40.023973954410963</v>
      </c>
      <c r="O129" s="34">
        <f t="shared" si="5"/>
        <v>1.6636941640715124</v>
      </c>
      <c r="P129" s="30">
        <f t="shared" si="6"/>
        <v>53.324558443627389</v>
      </c>
      <c r="Q129" s="38">
        <v>1842722492525</v>
      </c>
      <c r="R129" s="94">
        <v>1893332990937</v>
      </c>
      <c r="S129" s="30">
        <f t="shared" si="1"/>
        <v>-50610498412</v>
      </c>
      <c r="T129" s="38">
        <v>1476889086692</v>
      </c>
      <c r="U129" s="38">
        <v>1442751772026</v>
      </c>
      <c r="V129" s="32">
        <f t="shared" si="2"/>
        <v>1.0236612529805196</v>
      </c>
      <c r="W129" s="1"/>
      <c r="X129" s="1"/>
      <c r="Y129" s="1"/>
      <c r="Z129" s="1"/>
    </row>
    <row r="130" spans="1:26" ht="15.75" customHeight="1">
      <c r="A130" s="1"/>
      <c r="B130" s="36" t="s">
        <v>137</v>
      </c>
      <c r="C130" s="38">
        <v>349455819960</v>
      </c>
      <c r="D130" s="38">
        <v>329735955102</v>
      </c>
      <c r="E130" s="38">
        <v>653796725408</v>
      </c>
      <c r="F130" s="30">
        <f t="shared" si="8"/>
        <v>3.0162073457455564E-2</v>
      </c>
      <c r="G130" s="38">
        <v>181147803292</v>
      </c>
      <c r="H130" s="38">
        <v>814620861786</v>
      </c>
      <c r="I130" s="38">
        <v>360</v>
      </c>
      <c r="J130" s="34">
        <f t="shared" si="3"/>
        <v>80.053448474354738</v>
      </c>
      <c r="K130" s="38">
        <v>2281092171</v>
      </c>
      <c r="L130" s="38">
        <v>64745242474</v>
      </c>
      <c r="M130" s="38">
        <v>932905806441</v>
      </c>
      <c r="N130" s="34">
        <f t="shared" si="4"/>
        <v>24.984609517610597</v>
      </c>
      <c r="O130" s="34">
        <f t="shared" si="5"/>
        <v>5.5558448629719805</v>
      </c>
      <c r="P130" s="30">
        <f t="shared" si="6"/>
        <v>99.482213128993351</v>
      </c>
      <c r="Q130" s="38">
        <v>282157452287</v>
      </c>
      <c r="R130" s="129">
        <v>333560579017</v>
      </c>
      <c r="S130" s="30">
        <f t="shared" si="1"/>
        <v>-51403126730</v>
      </c>
      <c r="T130" s="38">
        <v>373511385025</v>
      </c>
      <c r="U130" s="38">
        <v>280285340383</v>
      </c>
      <c r="V130" s="32">
        <f t="shared" si="2"/>
        <v>1.3326112044055174</v>
      </c>
      <c r="W130" s="1"/>
      <c r="X130" s="1"/>
      <c r="Y130" s="1"/>
      <c r="Z130" s="1"/>
    </row>
    <row r="131" spans="1:26" ht="15.75" customHeight="1">
      <c r="A131" s="1"/>
      <c r="B131" s="36" t="s">
        <v>138</v>
      </c>
      <c r="C131" s="38">
        <v>519269756899</v>
      </c>
      <c r="D131" s="38">
        <v>468979800633</v>
      </c>
      <c r="E131" s="38">
        <v>1001657012004</v>
      </c>
      <c r="F131" s="30">
        <f t="shared" si="8"/>
        <v>5.0206763056932682E-2</v>
      </c>
      <c r="G131" s="38">
        <v>238247341317</v>
      </c>
      <c r="H131" s="38">
        <v>1315078883021</v>
      </c>
      <c r="I131" s="38">
        <v>360</v>
      </c>
      <c r="J131" s="34">
        <f t="shared" si="3"/>
        <v>65.219694408818498</v>
      </c>
      <c r="K131" s="6">
        <f>52642415+144232382257</f>
        <v>144285024672</v>
      </c>
      <c r="L131" s="6">
        <f>12742383080+145354634342</f>
        <v>158097017422</v>
      </c>
      <c r="M131" s="38">
        <v>1501115928446</v>
      </c>
      <c r="N131" s="34">
        <f t="shared" si="4"/>
        <v>37.915077172513939</v>
      </c>
      <c r="O131" s="34">
        <f t="shared" si="5"/>
        <v>6.8689159629948033</v>
      </c>
      <c r="P131" s="30">
        <f t="shared" si="6"/>
        <v>96.265855618337639</v>
      </c>
      <c r="Q131" s="38">
        <v>436018707335</v>
      </c>
      <c r="R131" s="94">
        <v>422760463871</v>
      </c>
      <c r="S131" s="30">
        <f t="shared" si="1"/>
        <v>13258243464</v>
      </c>
      <c r="T131" s="38">
        <v>633267725358</v>
      </c>
      <c r="U131" s="38">
        <v>368389286646</v>
      </c>
      <c r="V131" s="32">
        <f t="shared" si="2"/>
        <v>1.7190177573392147</v>
      </c>
      <c r="W131" s="1"/>
      <c r="X131" s="1"/>
      <c r="Y131" s="1"/>
      <c r="Z131" s="1"/>
    </row>
    <row r="132" spans="1:26" ht="15.75" customHeight="1">
      <c r="A132" s="1"/>
      <c r="B132" s="36" t="s">
        <v>139</v>
      </c>
      <c r="C132" s="38">
        <v>222686872602</v>
      </c>
      <c r="D132" s="38">
        <v>169302583936</v>
      </c>
      <c r="E132" s="38">
        <v>568239939951</v>
      </c>
      <c r="F132" s="30">
        <f t="shared" si="8"/>
        <v>9.3946737835083172E-2</v>
      </c>
      <c r="G132" s="38">
        <v>90321510404</v>
      </c>
      <c r="H132" s="38">
        <v>619332040650</v>
      </c>
      <c r="I132" s="38">
        <v>360</v>
      </c>
      <c r="J132" s="34">
        <f t="shared" si="3"/>
        <v>52.501310462339639</v>
      </c>
      <c r="K132" s="38">
        <f>52881049567+12537081698</f>
        <v>65418131265</v>
      </c>
      <c r="L132" s="6">
        <f>108361346707+1497089400</f>
        <v>109858436107</v>
      </c>
      <c r="M132" s="38">
        <v>833850372883</v>
      </c>
      <c r="N132" s="34">
        <f t="shared" si="4"/>
        <v>47.429416936975144</v>
      </c>
      <c r="O132" s="34">
        <f t="shared" si="5"/>
        <v>6.9169626212663387</v>
      </c>
      <c r="P132" s="30">
        <f t="shared" si="6"/>
        <v>93.01376477804844</v>
      </c>
      <c r="Q132" s="38">
        <v>299674475232</v>
      </c>
      <c r="R132" s="154">
        <v>187351832938</v>
      </c>
      <c r="S132" s="30">
        <f t="shared" si="1"/>
        <v>112322642294</v>
      </c>
      <c r="T132" s="38">
        <v>272088644079</v>
      </c>
      <c r="U132" s="38">
        <v>296151295872</v>
      </c>
      <c r="V132" s="32">
        <f t="shared" si="2"/>
        <v>0.91874878777028834</v>
      </c>
      <c r="W132" s="1"/>
      <c r="X132" s="1"/>
      <c r="Y132" s="1"/>
      <c r="Z132" s="1"/>
    </row>
    <row r="133" spans="1:26" ht="15.75" customHeight="1">
      <c r="A133" s="1"/>
      <c r="B133" s="36" t="s">
        <v>140</v>
      </c>
      <c r="C133" s="38">
        <v>920494206042</v>
      </c>
      <c r="D133" s="38">
        <v>557548012748</v>
      </c>
      <c r="E133" s="38">
        <v>2337207195055</v>
      </c>
      <c r="F133" s="30">
        <f t="shared" si="8"/>
        <v>0.15529055107391068</v>
      </c>
      <c r="G133" s="38">
        <v>279955459843</v>
      </c>
      <c r="H133" s="38">
        <v>2079869989276</v>
      </c>
      <c r="I133" s="38">
        <v>360</v>
      </c>
      <c r="J133" s="34">
        <f t="shared" si="3"/>
        <v>48.456858391693395</v>
      </c>
      <c r="K133" s="38">
        <v>191716507632</v>
      </c>
      <c r="L133" s="6">
        <f>116018096040+245124355650</f>
        <v>361142451690</v>
      </c>
      <c r="M133" s="38">
        <v>2629107367897</v>
      </c>
      <c r="N133" s="34">
        <f t="shared" si="4"/>
        <v>49.450731528090806</v>
      </c>
      <c r="O133" s="34">
        <f t="shared" si="5"/>
        <v>6.6561863750620667</v>
      </c>
      <c r="P133" s="30">
        <f t="shared" si="6"/>
        <v>91.251403544722137</v>
      </c>
      <c r="Q133" s="38">
        <v>1107152196056</v>
      </c>
      <c r="R133" s="143">
        <v>1044098603394</v>
      </c>
      <c r="S133" s="30">
        <f t="shared" si="1"/>
        <v>63053592662</v>
      </c>
      <c r="T133" s="38">
        <v>1168695057385</v>
      </c>
      <c r="U133" s="38">
        <v>1168512137670</v>
      </c>
      <c r="V133" s="32">
        <f t="shared" si="2"/>
        <v>1.0001565407059996</v>
      </c>
      <c r="W133" s="1"/>
      <c r="X133" s="1"/>
      <c r="Y133" s="1"/>
      <c r="Z133" s="1"/>
    </row>
    <row r="134" spans="1:26" ht="15.75" customHeight="1">
      <c r="A134" s="1"/>
      <c r="B134" s="36" t="s">
        <v>141</v>
      </c>
      <c r="C134" s="38">
        <v>5949164</v>
      </c>
      <c r="D134" s="38">
        <v>2504330</v>
      </c>
      <c r="E134" s="38">
        <v>9254539</v>
      </c>
      <c r="F134" s="30">
        <f t="shared" si="8"/>
        <v>0.37223183132082538</v>
      </c>
      <c r="G134" s="38">
        <v>2069726</v>
      </c>
      <c r="H134" s="38">
        <v>4862377</v>
      </c>
      <c r="I134" s="38">
        <v>360</v>
      </c>
      <c r="J134" s="34">
        <f t="shared" si="3"/>
        <v>153.23808910744683</v>
      </c>
      <c r="K134" s="6">
        <f>6511+190729</f>
        <v>197240</v>
      </c>
      <c r="L134" s="38">
        <v>2393724</v>
      </c>
      <c r="M134" s="38">
        <v>6545680</v>
      </c>
      <c r="N134" s="34">
        <f t="shared" si="4"/>
        <v>131.65028537905917</v>
      </c>
      <c r="O134" s="34">
        <f t="shared" si="5"/>
        <v>56.038439338714092</v>
      </c>
      <c r="P134" s="30">
        <f t="shared" si="6"/>
        <v>228.84993514779191</v>
      </c>
      <c r="Q134" s="38">
        <v>2587235</v>
      </c>
      <c r="R134" s="94">
        <v>4597344</v>
      </c>
      <c r="S134" s="30">
        <f t="shared" si="1"/>
        <v>-2010109</v>
      </c>
      <c r="T134" s="38">
        <v>4990139</v>
      </c>
      <c r="U134" s="38">
        <v>4264400</v>
      </c>
      <c r="V134" s="32">
        <f t="shared" si="2"/>
        <v>1.1701854891661194</v>
      </c>
      <c r="W134" s="1"/>
      <c r="X134" s="1"/>
      <c r="Y134" s="1"/>
      <c r="Z134" s="1"/>
    </row>
    <row r="135" spans="1:26" ht="15.75" customHeight="1">
      <c r="A135" s="1"/>
      <c r="B135" s="36" t="s">
        <v>142</v>
      </c>
      <c r="C135" s="38">
        <v>249820943200</v>
      </c>
      <c r="D135" s="38">
        <v>331532658228</v>
      </c>
      <c r="E135" s="38">
        <v>1165093632823</v>
      </c>
      <c r="F135" s="30">
        <f t="shared" si="8"/>
        <v>-7.0133174472865364E-2</v>
      </c>
      <c r="G135" s="38">
        <v>117649171147</v>
      </c>
      <c r="H135" s="38">
        <v>208446575236</v>
      </c>
      <c r="I135" s="38">
        <v>360</v>
      </c>
      <c r="J135" s="34">
        <f t="shared" si="3"/>
        <v>203.18732301054979</v>
      </c>
      <c r="K135" s="6">
        <f>35863576247+8747895396</f>
        <v>44611471643</v>
      </c>
      <c r="L135" s="6">
        <f>54701889243+912218439</f>
        <v>55614107682</v>
      </c>
      <c r="M135" s="38">
        <v>296471502365</v>
      </c>
      <c r="N135" s="34">
        <f t="shared" si="4"/>
        <v>67.531208247027763</v>
      </c>
      <c r="O135" s="34">
        <f t="shared" si="5"/>
        <v>38.115237287170928</v>
      </c>
      <c r="P135" s="30">
        <f t="shared" si="6"/>
        <v>232.60329397040658</v>
      </c>
      <c r="Q135" s="38">
        <v>605273515445</v>
      </c>
      <c r="R135" s="94">
        <v>624468981580</v>
      </c>
      <c r="S135" s="30">
        <f t="shared" si="1"/>
        <v>-19195466135</v>
      </c>
      <c r="T135" s="38">
        <v>684252214422</v>
      </c>
      <c r="U135" s="38">
        <v>480841418401</v>
      </c>
      <c r="V135" s="32">
        <f t="shared" si="2"/>
        <v>1.4230309375124681</v>
      </c>
      <c r="W135" s="1"/>
      <c r="X135" s="1"/>
      <c r="Y135" s="1"/>
      <c r="Z135" s="1"/>
    </row>
    <row r="136" spans="1:26" ht="15.75" customHeight="1">
      <c r="A136" s="1"/>
      <c r="B136" s="36" t="s">
        <v>143</v>
      </c>
      <c r="C136" s="38">
        <v>2874822</v>
      </c>
      <c r="D136" s="38">
        <v>593526</v>
      </c>
      <c r="E136" s="38">
        <v>4239200</v>
      </c>
      <c r="F136" s="30">
        <f t="shared" si="8"/>
        <v>0.538143045857709</v>
      </c>
      <c r="G136" s="38">
        <v>760534</v>
      </c>
      <c r="H136" s="38">
        <v>3952883</v>
      </c>
      <c r="I136" s="38">
        <v>360</v>
      </c>
      <c r="J136" s="34">
        <f t="shared" si="3"/>
        <v>69.263937232647663</v>
      </c>
      <c r="K136" s="38">
        <v>398217</v>
      </c>
      <c r="L136" s="38">
        <v>462423</v>
      </c>
      <c r="M136" s="38">
        <v>4685988</v>
      </c>
      <c r="N136" s="34">
        <f t="shared" si="4"/>
        <v>35.525545519962918</v>
      </c>
      <c r="O136" s="34">
        <f t="shared" si="5"/>
        <v>6.8351087640285524</v>
      </c>
      <c r="P136" s="30">
        <f t="shared" si="6"/>
        <v>97.954373988582034</v>
      </c>
      <c r="Q136" s="38">
        <v>1042072</v>
      </c>
      <c r="R136" s="94">
        <v>1436430855621</v>
      </c>
      <c r="S136" s="30">
        <f t="shared" si="1"/>
        <v>-1436429813549</v>
      </c>
      <c r="T136" s="38">
        <v>749967</v>
      </c>
      <c r="U136" s="38">
        <v>3489233</v>
      </c>
      <c r="V136" s="32">
        <f t="shared" si="2"/>
        <v>0.2149374948591854</v>
      </c>
      <c r="W136" s="1"/>
      <c r="X136" s="1"/>
      <c r="Y136" s="1"/>
      <c r="Z136" s="1"/>
    </row>
    <row r="137" spans="1:26" ht="15.75" customHeight="1">
      <c r="A137" s="1"/>
      <c r="B137" s="36" t="s">
        <v>144</v>
      </c>
      <c r="C137" s="38">
        <v>1103865252070</v>
      </c>
      <c r="D137" s="38">
        <v>504208767076</v>
      </c>
      <c r="E137" s="38">
        <v>1425964152418</v>
      </c>
      <c r="F137" s="30">
        <f t="shared" si="8"/>
        <v>0.42052704058314905</v>
      </c>
      <c r="G137" s="38">
        <v>556574980730</v>
      </c>
      <c r="H137" s="38">
        <v>3680603252346</v>
      </c>
      <c r="I137" s="38">
        <v>360</v>
      </c>
      <c r="J137" s="34">
        <f t="shared" si="3"/>
        <v>54.438628487079392</v>
      </c>
      <c r="K137" s="6">
        <f>69908317802+37835858847</f>
        <v>107744176649</v>
      </c>
      <c r="L137" s="6">
        <f>151368707677+130991926631</f>
        <v>282360634308</v>
      </c>
      <c r="M137" s="38">
        <v>4115541761173</v>
      </c>
      <c r="N137" s="34">
        <f t="shared" si="4"/>
        <v>24.69901516001336</v>
      </c>
      <c r="O137" s="34">
        <f t="shared" si="5"/>
        <v>3.7349458619241918</v>
      </c>
      <c r="P137" s="30">
        <f t="shared" si="6"/>
        <v>75.402697785168556</v>
      </c>
      <c r="Q137" s="38">
        <v>215976492549</v>
      </c>
      <c r="R137" s="94">
        <v>232807135670</v>
      </c>
      <c r="S137" s="30">
        <f t="shared" si="1"/>
        <v>-16830643121</v>
      </c>
      <c r="T137" s="38">
        <v>538044038690</v>
      </c>
      <c r="U137" s="6"/>
      <c r="V137" s="32" t="e">
        <f t="shared" si="2"/>
        <v>#DIV/0!</v>
      </c>
      <c r="W137" s="1"/>
      <c r="X137" s="1"/>
      <c r="Y137" s="1"/>
      <c r="Z137" s="1"/>
    </row>
    <row r="138" spans="1:26" ht="15.75" customHeight="1">
      <c r="A138" s="1"/>
      <c r="B138" s="12" t="s">
        <v>145</v>
      </c>
      <c r="C138" s="6"/>
      <c r="D138" s="6"/>
      <c r="E138" s="6"/>
      <c r="F138" s="30" t="e">
        <f t="shared" si="8"/>
        <v>#DIV/0!</v>
      </c>
      <c r="G138" s="6"/>
      <c r="H138" s="6"/>
      <c r="I138" s="6"/>
      <c r="J138" s="34" t="e">
        <f t="shared" si="3"/>
        <v>#DIV/0!</v>
      </c>
      <c r="K138" s="6"/>
      <c r="L138" s="6"/>
      <c r="M138" s="6"/>
      <c r="N138" s="34" t="e">
        <f t="shared" si="4"/>
        <v>#DIV/0!</v>
      </c>
      <c r="O138" s="34" t="e">
        <f t="shared" si="5"/>
        <v>#DIV/0!</v>
      </c>
      <c r="P138" s="30" t="e">
        <f t="shared" si="6"/>
        <v>#DIV/0!</v>
      </c>
      <c r="Q138" s="6"/>
      <c r="R138" s="94"/>
      <c r="S138" s="30">
        <f t="shared" si="1"/>
        <v>0</v>
      </c>
      <c r="T138" s="6"/>
      <c r="U138" s="6"/>
      <c r="V138" s="32" t="e">
        <f t="shared" si="2"/>
        <v>#DIV/0!</v>
      </c>
      <c r="W138" s="1"/>
      <c r="X138" s="1"/>
      <c r="Y138" s="1"/>
      <c r="Z138" s="1"/>
    </row>
    <row r="139" spans="1:26" ht="15.75" customHeight="1">
      <c r="A139" s="1"/>
      <c r="B139" s="36" t="s">
        <v>146</v>
      </c>
      <c r="C139" s="38">
        <v>8708423</v>
      </c>
      <c r="D139" s="38">
        <v>3625665</v>
      </c>
      <c r="E139" s="38">
        <v>13470943</v>
      </c>
      <c r="F139" s="30">
        <f t="shared" si="8"/>
        <v>0.37731270928842919</v>
      </c>
      <c r="G139" s="38">
        <v>6607751</v>
      </c>
      <c r="H139" s="38">
        <v>17107950</v>
      </c>
      <c r="I139" s="38">
        <v>360</v>
      </c>
      <c r="J139" s="34">
        <f t="shared" si="3"/>
        <v>139.04590322043259</v>
      </c>
      <c r="K139" s="6">
        <f>50597+519415</f>
        <v>570012</v>
      </c>
      <c r="L139" s="6">
        <f>141438+1116274</f>
        <v>1257712</v>
      </c>
      <c r="M139" s="38">
        <v>19228981</v>
      </c>
      <c r="N139" s="34">
        <f t="shared" si="4"/>
        <v>23.546558187352726</v>
      </c>
      <c r="O139" s="34">
        <f t="shared" si="5"/>
        <v>9.094590141369256</v>
      </c>
      <c r="P139" s="30">
        <f t="shared" si="6"/>
        <v>153.49787126641607</v>
      </c>
      <c r="Q139" s="38">
        <v>4435125</v>
      </c>
      <c r="R139" s="94">
        <v>5073295</v>
      </c>
      <c r="S139" s="30">
        <f t="shared" si="1"/>
        <v>-638170</v>
      </c>
      <c r="T139" s="6">
        <f>13470943-9441367</f>
        <v>4029576</v>
      </c>
      <c r="U139" s="38">
        <v>9441367</v>
      </c>
      <c r="V139" s="32">
        <f t="shared" si="2"/>
        <v>0.42680005977947899</v>
      </c>
      <c r="W139" s="1"/>
      <c r="X139" s="1"/>
      <c r="Y139" s="1"/>
      <c r="Z139" s="1"/>
    </row>
    <row r="140" spans="1:26" ht="15.75" customHeight="1">
      <c r="A140" s="1"/>
      <c r="B140" s="36" t="s">
        <v>147</v>
      </c>
      <c r="C140" s="38">
        <v>41933173</v>
      </c>
      <c r="D140" s="38">
        <v>21638565</v>
      </c>
      <c r="E140" s="38">
        <v>62951634</v>
      </c>
      <c r="F140" s="30">
        <f t="shared" si="8"/>
        <v>0.3223841338256605</v>
      </c>
      <c r="G140" s="38">
        <v>37545222</v>
      </c>
      <c r="H140" s="38">
        <v>59657431</v>
      </c>
      <c r="I140" s="38">
        <v>360</v>
      </c>
      <c r="J140" s="34">
        <f t="shared" si="3"/>
        <v>226.56490052345703</v>
      </c>
      <c r="K140" s="6">
        <f>1091412+26545</f>
        <v>1117957</v>
      </c>
      <c r="L140" s="38">
        <v>2089949</v>
      </c>
      <c r="M140" s="38">
        <v>76274147</v>
      </c>
      <c r="N140" s="34">
        <f t="shared" si="4"/>
        <v>9.8641763899372101</v>
      </c>
      <c r="O140" s="34">
        <f t="shared" si="5"/>
        <v>6.207989284810993</v>
      </c>
      <c r="P140" s="30">
        <f t="shared" si="6"/>
        <v>230.22108762858323</v>
      </c>
      <c r="Q140" s="38">
        <v>20498950</v>
      </c>
      <c r="R140" s="94">
        <v>20936982</v>
      </c>
      <c r="S140" s="30">
        <f t="shared" si="1"/>
        <v>-438032</v>
      </c>
      <c r="T140" s="38">
        <v>23387406</v>
      </c>
      <c r="U140" s="38">
        <v>39564228</v>
      </c>
      <c r="V140" s="32">
        <f t="shared" si="2"/>
        <v>0.5911250435620784</v>
      </c>
      <c r="W140" s="1"/>
      <c r="X140" s="1"/>
      <c r="Y140" s="1"/>
      <c r="Z140" s="1"/>
    </row>
    <row r="141" spans="1:26" ht="15.75" customHeight="1">
      <c r="A141" s="1"/>
      <c r="B141" s="36" t="s">
        <v>148</v>
      </c>
      <c r="C141" s="38">
        <v>33647496</v>
      </c>
      <c r="D141" s="38">
        <v>6428478</v>
      </c>
      <c r="E141" s="38">
        <v>42508277</v>
      </c>
      <c r="F141" s="30">
        <f t="shared" si="8"/>
        <v>0.6403227776086996</v>
      </c>
      <c r="G141" s="38">
        <v>19442023</v>
      </c>
      <c r="H141" s="38">
        <v>71611981</v>
      </c>
      <c r="I141" s="38">
        <v>360</v>
      </c>
      <c r="J141" s="34">
        <f t="shared" si="3"/>
        <v>97.73683372898175</v>
      </c>
      <c r="K141" s="6">
        <f>2567887+1302730</f>
        <v>3870617</v>
      </c>
      <c r="L141" s="6">
        <f>3124358+198168</f>
        <v>3322526</v>
      </c>
      <c r="M141" s="38">
        <v>95466657</v>
      </c>
      <c r="N141" s="34">
        <f t="shared" si="4"/>
        <v>12.529079760276932</v>
      </c>
      <c r="O141" s="34">
        <f t="shared" si="5"/>
        <v>3.4015349591870474</v>
      </c>
      <c r="P141" s="30">
        <f t="shared" si="6"/>
        <v>106.86437853007163</v>
      </c>
      <c r="Q141" s="38">
        <v>6988232</v>
      </c>
      <c r="R141" s="94">
        <v>8203394</v>
      </c>
      <c r="S141" s="30">
        <f t="shared" si="1"/>
        <v>-1215162</v>
      </c>
      <c r="T141" s="38">
        <v>8333263</v>
      </c>
      <c r="U141" s="38">
        <v>34175014</v>
      </c>
      <c r="V141" s="32">
        <f t="shared" si="2"/>
        <v>0.24384080720493634</v>
      </c>
      <c r="W141" s="1"/>
      <c r="X141" s="1"/>
      <c r="Y141" s="1"/>
      <c r="Z141" s="1"/>
    </row>
    <row r="142" spans="1:26" ht="15.75" customHeight="1">
      <c r="A142" s="1"/>
      <c r="B142" s="36" t="s">
        <v>149</v>
      </c>
      <c r="C142" s="38">
        <v>996925071640</v>
      </c>
      <c r="D142" s="38">
        <v>293711761060</v>
      </c>
      <c r="E142" s="38">
        <v>1353634132275</v>
      </c>
      <c r="F142" s="30">
        <f t="shared" si="8"/>
        <v>0.51950027988592229</v>
      </c>
      <c r="G142" s="38">
        <v>778304640349</v>
      </c>
      <c r="H142" s="38">
        <v>1176493799658</v>
      </c>
      <c r="I142" s="38">
        <v>360</v>
      </c>
      <c r="J142" s="34">
        <f t="shared" si="3"/>
        <v>238.15652118786306</v>
      </c>
      <c r="K142" s="6">
        <f>1073863339+41996072792</f>
        <v>43069936131</v>
      </c>
      <c r="L142" s="38">
        <v>63044844590</v>
      </c>
      <c r="M142" s="38">
        <v>1685795530617</v>
      </c>
      <c r="N142" s="34">
        <f t="shared" si="4"/>
        <v>13.463165395920361</v>
      </c>
      <c r="O142" s="34">
        <f t="shared" si="5"/>
        <v>8.9065017635255899</v>
      </c>
      <c r="P142" s="30">
        <f t="shared" si="6"/>
        <v>242.71318482025782</v>
      </c>
      <c r="Q142" s="38">
        <v>330448090705</v>
      </c>
      <c r="R142" s="94">
        <v>353886039996</v>
      </c>
      <c r="S142" s="30">
        <f t="shared" si="1"/>
        <v>-23437949291</v>
      </c>
      <c r="T142" s="38">
        <v>362540740471</v>
      </c>
      <c r="U142" s="38">
        <v>991093391804</v>
      </c>
      <c r="V142" s="32">
        <f t="shared" si="2"/>
        <v>0.36579876676515727</v>
      </c>
      <c r="W142" s="1"/>
      <c r="X142" s="1"/>
      <c r="Y142" s="1"/>
      <c r="Z142" s="1"/>
    </row>
    <row r="143" spans="1:26" ht="15.75" customHeight="1">
      <c r="A143" s="1"/>
      <c r="B143" s="12" t="s">
        <v>150</v>
      </c>
      <c r="C143" s="6"/>
      <c r="D143" s="6"/>
      <c r="E143" s="6"/>
      <c r="F143" s="30" t="e">
        <f t="shared" si="8"/>
        <v>#DIV/0!</v>
      </c>
      <c r="G143" s="6"/>
      <c r="H143" s="6"/>
      <c r="I143" s="6"/>
      <c r="J143" s="34" t="e">
        <f t="shared" si="3"/>
        <v>#DIV/0!</v>
      </c>
      <c r="K143" s="6"/>
      <c r="L143" s="6"/>
      <c r="M143" s="6"/>
      <c r="N143" s="34" t="e">
        <f t="shared" si="4"/>
        <v>#DIV/0!</v>
      </c>
      <c r="O143" s="34" t="e">
        <f t="shared" si="5"/>
        <v>#DIV/0!</v>
      </c>
      <c r="P143" s="30" t="e">
        <f t="shared" si="6"/>
        <v>#DIV/0!</v>
      </c>
      <c r="Q143" s="6"/>
      <c r="R143" s="94"/>
      <c r="S143" s="30">
        <f t="shared" si="1"/>
        <v>0</v>
      </c>
      <c r="T143" s="6"/>
      <c r="U143" s="6"/>
      <c r="V143" s="32" t="e">
        <f t="shared" si="2"/>
        <v>#DIV/0!</v>
      </c>
      <c r="W143" s="1"/>
      <c r="X143" s="1"/>
      <c r="Y143" s="1"/>
      <c r="Z143" s="1"/>
    </row>
    <row r="144" spans="1:26" ht="15.75" customHeight="1">
      <c r="A144" s="1"/>
      <c r="B144" s="36" t="s">
        <v>151</v>
      </c>
      <c r="C144" s="38">
        <v>1068967094</v>
      </c>
      <c r="D144" s="38">
        <v>374427510</v>
      </c>
      <c r="E144" s="38">
        <v>1531365558</v>
      </c>
      <c r="F144" s="30">
        <f t="shared" si="8"/>
        <v>0.45354264393087518</v>
      </c>
      <c r="G144" s="38">
        <v>209777851</v>
      </c>
      <c r="H144" s="38">
        <v>649918928</v>
      </c>
      <c r="I144" s="38">
        <v>360</v>
      </c>
      <c r="J144" s="34">
        <f t="shared" si="3"/>
        <v>116.19914901139792</v>
      </c>
      <c r="K144" s="6">
        <f>48922376+2647281</f>
        <v>51569657</v>
      </c>
      <c r="L144" s="6">
        <f>440446957+21342480</f>
        <v>461789437</v>
      </c>
      <c r="M144" s="38">
        <v>1451356680</v>
      </c>
      <c r="N144" s="34">
        <f t="shared" si="4"/>
        <v>114.54399846080564</v>
      </c>
      <c r="O144" s="34">
        <f t="shared" si="5"/>
        <v>36.97198651530136</v>
      </c>
      <c r="P144" s="30">
        <f t="shared" si="6"/>
        <v>193.77116095690221</v>
      </c>
      <c r="Q144" s="38">
        <v>404599316</v>
      </c>
      <c r="R144" s="94">
        <v>332448203</v>
      </c>
      <c r="S144" s="30">
        <f t="shared" si="1"/>
        <v>72151113</v>
      </c>
      <c r="T144" s="38">
        <v>451785946</v>
      </c>
      <c r="U144" s="38">
        <v>1079579612</v>
      </c>
      <c r="V144" s="32">
        <f t="shared" si="2"/>
        <v>0.41848321418652357</v>
      </c>
      <c r="W144" s="1"/>
      <c r="X144" s="1"/>
      <c r="Y144" s="1"/>
      <c r="Z144" s="1"/>
    </row>
    <row r="145" spans="1:26" ht="15.75" customHeight="1">
      <c r="A145" s="1"/>
      <c r="B145" s="36" t="s">
        <v>152</v>
      </c>
      <c r="C145" s="38">
        <v>550755405712</v>
      </c>
      <c r="D145" s="38">
        <v>4396997556731</v>
      </c>
      <c r="E145" s="38">
        <v>1126524736436</v>
      </c>
      <c r="F145" s="30">
        <f t="shared" si="8"/>
        <v>-3.4142545002495046</v>
      </c>
      <c r="G145" s="38">
        <v>181786390063</v>
      </c>
      <c r="H145" s="38">
        <v>345816002944</v>
      </c>
      <c r="I145" s="38">
        <v>360</v>
      </c>
      <c r="J145" s="34">
        <f t="shared" si="3"/>
        <v>189.24254477973821</v>
      </c>
      <c r="K145" s="38">
        <v>78233546340</v>
      </c>
      <c r="L145" s="38">
        <v>293929178408</v>
      </c>
      <c r="M145" s="38">
        <v>486769208671</v>
      </c>
      <c r="N145" s="34">
        <f t="shared" si="4"/>
        <v>217.38126065077063</v>
      </c>
      <c r="O145" s="34">
        <f t="shared" si="5"/>
        <v>114.27161931383168</v>
      </c>
      <c r="P145" s="30">
        <f t="shared" si="6"/>
        <v>292.3521861166771</v>
      </c>
      <c r="Q145" s="38">
        <v>400353819032</v>
      </c>
      <c r="R145" s="143">
        <v>465551175363</v>
      </c>
      <c r="S145" s="30">
        <f t="shared" si="1"/>
        <v>-65197356331</v>
      </c>
      <c r="T145" s="38">
        <v>517864149700</v>
      </c>
      <c r="U145" s="38">
        <v>608660586736</v>
      </c>
      <c r="V145" s="32">
        <f t="shared" si="2"/>
        <v>0.85082583131773903</v>
      </c>
      <c r="W145" s="1"/>
      <c r="X145" s="1"/>
      <c r="Y145" s="1"/>
      <c r="Z145" s="1"/>
    </row>
    <row r="146" spans="1:26" ht="15.75" customHeight="1">
      <c r="A146" s="1"/>
      <c r="B146" s="36" t="s">
        <v>153</v>
      </c>
      <c r="C146" s="38">
        <v>1794125</v>
      </c>
      <c r="D146" s="38">
        <v>14043</v>
      </c>
      <c r="E146" s="38">
        <v>2987614</v>
      </c>
      <c r="F146" s="30">
        <f t="shared" si="8"/>
        <v>0.59582061136411868</v>
      </c>
      <c r="G146" s="38">
        <v>317082</v>
      </c>
      <c r="H146" s="38">
        <v>1494142</v>
      </c>
      <c r="I146" s="38">
        <v>360</v>
      </c>
      <c r="J146" s="34">
        <f t="shared" si="3"/>
        <v>76.398039811477091</v>
      </c>
      <c r="K146" s="6">
        <f>153152+24712</f>
        <v>177864</v>
      </c>
      <c r="L146" s="6">
        <f>367145+59</f>
        <v>367204</v>
      </c>
      <c r="M146" s="38">
        <v>2561806</v>
      </c>
      <c r="N146" s="34">
        <f t="shared" si="4"/>
        <v>51.601659142027145</v>
      </c>
      <c r="O146" s="34">
        <f t="shared" si="5"/>
        <v>10.950737804085724</v>
      </c>
      <c r="P146" s="30">
        <f t="shared" si="6"/>
        <v>117.04896114941852</v>
      </c>
      <c r="Q146" s="38">
        <v>1051227</v>
      </c>
      <c r="R146" s="95">
        <v>1088672</v>
      </c>
      <c r="S146" s="30">
        <f t="shared" si="1"/>
        <v>-37445</v>
      </c>
      <c r="T146" s="38">
        <v>229729</v>
      </c>
      <c r="U146" s="38">
        <v>2757885</v>
      </c>
      <c r="V146" s="32">
        <f t="shared" si="2"/>
        <v>8.3298977296007631E-2</v>
      </c>
      <c r="W146" s="1"/>
      <c r="X146" s="1"/>
      <c r="Y146" s="1"/>
      <c r="Z146" s="1"/>
    </row>
    <row r="147" spans="1:26" ht="15.75" customHeight="1">
      <c r="A147" s="1"/>
      <c r="B147" s="36" t="s">
        <v>154</v>
      </c>
      <c r="C147" s="38">
        <v>9572529767897</v>
      </c>
      <c r="D147" s="38">
        <v>2317161787100</v>
      </c>
      <c r="E147" s="38">
        <v>15226009210657</v>
      </c>
      <c r="F147" s="30">
        <f t="shared" si="8"/>
        <v>0.47651146668943412</v>
      </c>
      <c r="G147" s="38">
        <v>3344404151105</v>
      </c>
      <c r="H147" s="38">
        <v>9886262652473</v>
      </c>
      <c r="I147" s="38">
        <v>360</v>
      </c>
      <c r="J147" s="34">
        <f t="shared" si="3"/>
        <v>121.78368476753235</v>
      </c>
      <c r="K147" s="6">
        <f>1068305280044+59001960214</f>
        <v>1127307240258</v>
      </c>
      <c r="L147" s="6">
        <f>2606612666119+24593763005</f>
        <v>2631206429124</v>
      </c>
      <c r="M147" s="38">
        <v>19374230857505</v>
      </c>
      <c r="N147" s="34">
        <f t="shared" si="4"/>
        <v>48.891453882811028</v>
      </c>
      <c r="O147" s="34">
        <f t="shared" si="5"/>
        <v>16.539392798585013</v>
      </c>
      <c r="P147" s="30">
        <f t="shared" si="6"/>
        <v>154.13574585175837</v>
      </c>
      <c r="Q147" s="38">
        <v>4555756101580</v>
      </c>
      <c r="R147" s="94">
        <v>4947925772737</v>
      </c>
      <c r="S147" s="30">
        <f t="shared" si="1"/>
        <v>-392169671157</v>
      </c>
      <c r="T147" s="38">
        <v>2762162069572</v>
      </c>
      <c r="U147" s="38">
        <v>12463847141085</v>
      </c>
      <c r="V147" s="32">
        <f t="shared" si="2"/>
        <v>0.22161392371918553</v>
      </c>
      <c r="W147" s="1"/>
      <c r="X147" s="1"/>
      <c r="Y147" s="1"/>
      <c r="Z147" s="1"/>
    </row>
    <row r="148" spans="1:26" ht="15.75" customHeight="1">
      <c r="A148" s="1"/>
      <c r="B148" s="36" t="s">
        <v>155</v>
      </c>
      <c r="C148" s="38">
        <v>2906737458288</v>
      </c>
      <c r="D148" s="38">
        <v>1696208867581</v>
      </c>
      <c r="E148" s="38">
        <v>4612562541064</v>
      </c>
      <c r="F148" s="30">
        <f t="shared" si="8"/>
        <v>0.26244166446093586</v>
      </c>
      <c r="G148" s="38">
        <v>967326842652</v>
      </c>
      <c r="H148" s="38">
        <v>3947606932563</v>
      </c>
      <c r="I148" s="38">
        <v>360</v>
      </c>
      <c r="J148" s="34">
        <f t="shared" si="3"/>
        <v>88.214877849711669</v>
      </c>
      <c r="K148" s="6">
        <f>864785126143+30340587298</f>
        <v>895125713441</v>
      </c>
      <c r="L148" s="6">
        <f>651276166375+58755829680</f>
        <v>710031996055</v>
      </c>
      <c r="M148" s="38">
        <v>5811502656431</v>
      </c>
      <c r="N148" s="34">
        <f t="shared" si="4"/>
        <v>43.983722230074292</v>
      </c>
      <c r="O148" s="34">
        <f t="shared" si="5"/>
        <v>10.777829677504588</v>
      </c>
      <c r="P148" s="30">
        <f t="shared" si="6"/>
        <v>121.42077040228138</v>
      </c>
      <c r="Q148" s="38">
        <v>1006745257089</v>
      </c>
      <c r="R148" s="94">
        <v>1135302282692</v>
      </c>
      <c r="S148" s="30">
        <f t="shared" si="1"/>
        <v>-128557025603</v>
      </c>
      <c r="T148" s="38">
        <v>2341155131870</v>
      </c>
      <c r="U148" s="38">
        <v>2271407409194</v>
      </c>
      <c r="V148" s="32">
        <f t="shared" si="2"/>
        <v>1.0307068306608851</v>
      </c>
      <c r="W148" s="1"/>
      <c r="X148" s="1"/>
      <c r="Y148" s="1"/>
      <c r="Z148" s="1"/>
    </row>
    <row r="149" spans="1:26" ht="15.75" customHeight="1">
      <c r="A149" s="1"/>
      <c r="B149" s="36" t="s">
        <v>156</v>
      </c>
      <c r="C149" s="38">
        <v>1144723804</v>
      </c>
      <c r="D149" s="38">
        <v>214416021</v>
      </c>
      <c r="E149" s="38">
        <v>1393083772</v>
      </c>
      <c r="F149" s="30">
        <f t="shared" si="8"/>
        <v>0.66780462287949183</v>
      </c>
      <c r="G149" s="38">
        <v>388137486</v>
      </c>
      <c r="H149" s="38">
        <v>2010905948</v>
      </c>
      <c r="I149" s="38">
        <v>360</v>
      </c>
      <c r="J149" s="34">
        <f t="shared" si="3"/>
        <v>69.4858429848356</v>
      </c>
      <c r="K149" s="6">
        <f>80519128+27581343</f>
        <v>108100471</v>
      </c>
      <c r="L149" s="6">
        <f>127105630+124580209</f>
        <v>251685839</v>
      </c>
      <c r="M149" s="38">
        <v>2399834508</v>
      </c>
      <c r="N149" s="34">
        <f t="shared" si="4"/>
        <v>37.75547927907369</v>
      </c>
      <c r="O149" s="34">
        <f t="shared" si="5"/>
        <v>7.2874202916748008</v>
      </c>
      <c r="P149" s="30">
        <f t="shared" si="6"/>
        <v>99.95390197223449</v>
      </c>
      <c r="Q149" s="38">
        <v>234100977</v>
      </c>
      <c r="R149" s="143">
        <v>249246780</v>
      </c>
      <c r="S149" s="30">
        <f t="shared" si="1"/>
        <v>-15145803</v>
      </c>
      <c r="T149" s="38">
        <v>1158814947</v>
      </c>
      <c r="U149" s="38">
        <v>234268825</v>
      </c>
      <c r="V149" s="32">
        <f t="shared" si="2"/>
        <v>4.946517945783012</v>
      </c>
      <c r="W149" s="1"/>
      <c r="X149" s="1"/>
      <c r="Y149" s="1"/>
      <c r="Z149" s="1"/>
    </row>
    <row r="150" spans="1:26" ht="15.75" customHeight="1">
      <c r="A150" s="1"/>
      <c r="B150" s="36" t="s">
        <v>157</v>
      </c>
      <c r="C150" s="38">
        <v>508615377</v>
      </c>
      <c r="D150" s="38">
        <v>120622129</v>
      </c>
      <c r="E150" s="38">
        <v>743934984</v>
      </c>
      <c r="F150" s="30">
        <f t="shared" si="8"/>
        <v>0.52154187710575528</v>
      </c>
      <c r="G150" s="38">
        <v>231211654</v>
      </c>
      <c r="H150" s="38">
        <v>492613670</v>
      </c>
      <c r="I150" s="38">
        <v>360</v>
      </c>
      <c r="J150" s="34">
        <f t="shared" si="3"/>
        <v>168.96850515739851</v>
      </c>
      <c r="K150" s="6">
        <f>52869858+1611710</f>
        <v>54481568</v>
      </c>
      <c r="L150" s="38">
        <v>149184469</v>
      </c>
      <c r="M150" s="38">
        <v>1034806890</v>
      </c>
      <c r="N150" s="34">
        <f t="shared" si="4"/>
        <v>51.899933561516967</v>
      </c>
      <c r="O150" s="34">
        <f t="shared" si="5"/>
        <v>24.359594976827278</v>
      </c>
      <c r="P150" s="30">
        <f t="shared" si="6"/>
        <v>196.5088437420882</v>
      </c>
      <c r="Q150" s="38">
        <v>129991953</v>
      </c>
      <c r="R150" s="94">
        <v>157966847</v>
      </c>
      <c r="S150" s="30">
        <f t="shared" si="1"/>
        <v>-27974894</v>
      </c>
      <c r="T150" s="38">
        <v>161262425</v>
      </c>
      <c r="U150" s="38">
        <v>582672469</v>
      </c>
      <c r="V150" s="32">
        <f t="shared" si="2"/>
        <v>0.27676341955329281</v>
      </c>
      <c r="W150" s="1"/>
      <c r="X150" s="1"/>
      <c r="Y150" s="1"/>
      <c r="Z150" s="1"/>
    </row>
    <row r="151" spans="1:26" ht="15.75" customHeight="1">
      <c r="A151" s="1"/>
      <c r="B151" s="36" t="s">
        <v>158</v>
      </c>
      <c r="C151" s="38">
        <v>83106443468</v>
      </c>
      <c r="D151" s="38">
        <v>37933579448</v>
      </c>
      <c r="E151" s="38">
        <v>167062795608</v>
      </c>
      <c r="F151" s="30">
        <f t="shared" si="8"/>
        <v>0.27039451755610899</v>
      </c>
      <c r="G151" s="38">
        <v>40301149056</v>
      </c>
      <c r="H151" s="38">
        <v>81635830400</v>
      </c>
      <c r="I151" s="38">
        <v>360</v>
      </c>
      <c r="J151" s="34">
        <f t="shared" si="3"/>
        <v>177.72115000327111</v>
      </c>
      <c r="K151" s="38">
        <v>5980507140</v>
      </c>
      <c r="L151" s="38">
        <v>38716265872</v>
      </c>
      <c r="M151" s="38">
        <v>216951583953</v>
      </c>
      <c r="N151" s="34">
        <f t="shared" si="4"/>
        <v>64.24408367970004</v>
      </c>
      <c r="O151" s="34">
        <f t="shared" si="5"/>
        <v>31.715367867951869</v>
      </c>
      <c r="P151" s="30">
        <f t="shared" si="6"/>
        <v>210.24986581501926</v>
      </c>
      <c r="Q151" s="38">
        <v>79954782788</v>
      </c>
      <c r="R151" s="94">
        <v>87205539855</v>
      </c>
      <c r="S151" s="30">
        <f t="shared" si="1"/>
        <v>-7250757067</v>
      </c>
      <c r="T151" s="38">
        <v>61554005181</v>
      </c>
      <c r="U151" s="38">
        <v>105508790427</v>
      </c>
      <c r="V151" s="32">
        <f t="shared" si="2"/>
        <v>0.58340167612468574</v>
      </c>
      <c r="W151" s="1"/>
      <c r="X151" s="1"/>
      <c r="Y151" s="1"/>
      <c r="Z151" s="1"/>
    </row>
    <row r="152" spans="1:26" ht="15.75" customHeight="1">
      <c r="A152" s="1"/>
      <c r="B152" s="36" t="s">
        <v>159</v>
      </c>
      <c r="C152" s="38">
        <v>384080541</v>
      </c>
      <c r="D152" s="38">
        <v>113998435</v>
      </c>
      <c r="E152" s="38">
        <v>479233790</v>
      </c>
      <c r="F152" s="30">
        <f t="shared" si="8"/>
        <v>0.56357066558265856</v>
      </c>
      <c r="G152" s="38">
        <v>57209237</v>
      </c>
      <c r="H152" s="38">
        <v>249333669</v>
      </c>
      <c r="I152" s="38">
        <v>360</v>
      </c>
      <c r="J152" s="34">
        <f t="shared" si="3"/>
        <v>82.601460936268495</v>
      </c>
      <c r="K152" s="6">
        <f>1296903+55661124</f>
        <v>56958027</v>
      </c>
      <c r="L152" s="6">
        <f>32987405+109858625</f>
        <v>142846030</v>
      </c>
      <c r="M152" s="38">
        <v>566565662</v>
      </c>
      <c r="N152" s="34">
        <f t="shared" si="4"/>
        <v>90.765420937211687</v>
      </c>
      <c r="O152" s="34">
        <f t="shared" si="5"/>
        <v>20.825989921969605</v>
      </c>
      <c r="P152" s="30">
        <f t="shared" si="6"/>
        <v>152.54089195151056</v>
      </c>
      <c r="Q152" s="38">
        <v>86021584</v>
      </c>
      <c r="R152" s="94">
        <v>98560903</v>
      </c>
      <c r="S152" s="30">
        <f t="shared" si="1"/>
        <v>-12539319</v>
      </c>
      <c r="T152" s="38">
        <v>124404091</v>
      </c>
      <c r="U152" s="38">
        <v>354829699</v>
      </c>
      <c r="V152" s="32">
        <f t="shared" si="2"/>
        <v>0.35060225046156579</v>
      </c>
      <c r="W152" s="1"/>
      <c r="X152" s="1"/>
      <c r="Y152" s="1"/>
      <c r="Z152" s="1"/>
    </row>
    <row r="153" spans="1:26" ht="15.75" customHeight="1">
      <c r="A153" s="1"/>
      <c r="B153" s="36" t="s">
        <v>160</v>
      </c>
      <c r="C153" s="6" t="s">
        <v>185</v>
      </c>
      <c r="D153" s="6"/>
      <c r="E153" s="6"/>
      <c r="F153" s="30" t="e">
        <f t="shared" si="8"/>
        <v>#VALUE!</v>
      </c>
      <c r="G153" s="6"/>
      <c r="H153" s="6"/>
      <c r="I153" s="38">
        <v>360</v>
      </c>
      <c r="J153" s="34" t="e">
        <f t="shared" si="3"/>
        <v>#DIV/0!</v>
      </c>
      <c r="K153" s="6"/>
      <c r="L153" s="6"/>
      <c r="M153" s="6"/>
      <c r="N153" s="34" t="e">
        <f t="shared" si="4"/>
        <v>#DIV/0!</v>
      </c>
      <c r="O153" s="34" t="e">
        <f t="shared" si="5"/>
        <v>#DIV/0!</v>
      </c>
      <c r="P153" s="30" t="e">
        <f t="shared" si="6"/>
        <v>#DIV/0!</v>
      </c>
      <c r="Q153" s="6"/>
      <c r="R153" s="94">
        <v>1979806954851</v>
      </c>
      <c r="S153" s="30">
        <f t="shared" si="1"/>
        <v>-1979806954851</v>
      </c>
      <c r="T153" s="6"/>
      <c r="U153" s="6"/>
      <c r="V153" s="32" t="e">
        <f t="shared" si="2"/>
        <v>#DIV/0!</v>
      </c>
      <c r="W153" s="1"/>
      <c r="X153" s="1"/>
      <c r="Y153" s="1"/>
      <c r="Z153" s="1"/>
    </row>
    <row r="154" spans="1:26" ht="15.75" customHeight="1">
      <c r="A154" s="1"/>
      <c r="B154" s="36" t="s">
        <v>161</v>
      </c>
      <c r="C154" s="38">
        <v>4385083916291</v>
      </c>
      <c r="D154" s="38">
        <v>1653413220121</v>
      </c>
      <c r="E154" s="38">
        <v>6585807349438</v>
      </c>
      <c r="F154" s="30">
        <f t="shared" si="8"/>
        <v>0.41478144610517753</v>
      </c>
      <c r="G154" s="38">
        <v>1362026037353</v>
      </c>
      <c r="H154" s="38">
        <v>5653874822666</v>
      </c>
      <c r="I154" s="38">
        <v>360</v>
      </c>
      <c r="J154" s="34">
        <f t="shared" si="3"/>
        <v>86.724483442997865</v>
      </c>
      <c r="K154" s="6">
        <f>1157952985882+21465568906</f>
        <v>1179418554788</v>
      </c>
      <c r="L154" s="6">
        <f>951172121759+385677186</f>
        <v>951557798945</v>
      </c>
      <c r="M154" s="38">
        <v>9138238993842</v>
      </c>
      <c r="N154" s="34">
        <f t="shared" si="4"/>
        <v>37.486523152988447</v>
      </c>
      <c r="O154" s="34">
        <f t="shared" si="5"/>
        <v>9.0305537681025072</v>
      </c>
      <c r="P154" s="30">
        <f t="shared" si="6"/>
        <v>115.1804528278838</v>
      </c>
      <c r="Q154" s="38">
        <v>1806744212273</v>
      </c>
      <c r="S154" s="30">
        <f t="shared" si="1"/>
        <v>1806744212273</v>
      </c>
      <c r="T154" s="38">
        <v>1950534206746</v>
      </c>
      <c r="U154" s="38">
        <v>4635273142692</v>
      </c>
      <c r="V154" s="32">
        <f t="shared" si="2"/>
        <v>0.420802430989687</v>
      </c>
      <c r="W154" s="1"/>
      <c r="X154" s="1"/>
      <c r="Y154" s="1"/>
      <c r="Z154" s="1"/>
    </row>
    <row r="155" spans="1:26" ht="15.75" customHeight="1">
      <c r="A155" s="1"/>
      <c r="B155" s="12" t="s">
        <v>162</v>
      </c>
      <c r="C155" s="6"/>
      <c r="D155" s="6"/>
      <c r="E155" s="6"/>
      <c r="F155" s="30" t="e">
        <f t="shared" si="8"/>
        <v>#DIV/0!</v>
      </c>
      <c r="G155" s="6"/>
      <c r="H155" s="6"/>
      <c r="I155" s="6"/>
      <c r="J155" s="34" t="e">
        <f t="shared" si="3"/>
        <v>#DIV/0!</v>
      </c>
      <c r="K155" s="6"/>
      <c r="L155" s="6"/>
      <c r="M155" s="6"/>
      <c r="N155" s="34" t="e">
        <f t="shared" si="4"/>
        <v>#DIV/0!</v>
      </c>
      <c r="O155" s="34" t="e">
        <f t="shared" si="5"/>
        <v>#DIV/0!</v>
      </c>
      <c r="P155" s="30" t="e">
        <f t="shared" si="6"/>
        <v>#DIV/0!</v>
      </c>
      <c r="Q155" s="6"/>
      <c r="R155" s="94">
        <v>969424309287</v>
      </c>
      <c r="S155" s="30">
        <f t="shared" si="1"/>
        <v>-969424309287</v>
      </c>
      <c r="T155" s="6"/>
      <c r="U155" s="6"/>
      <c r="V155" s="32" t="e">
        <f t="shared" si="2"/>
        <v>#DIV/0!</v>
      </c>
      <c r="W155" s="1"/>
      <c r="X155" s="1"/>
      <c r="Y155" s="1"/>
      <c r="Z155" s="1"/>
    </row>
    <row r="156" spans="1:26" ht="15.75" customHeight="1">
      <c r="A156" s="1"/>
      <c r="B156" s="36" t="s">
        <v>163</v>
      </c>
      <c r="C156" s="38">
        <v>1174482404487</v>
      </c>
      <c r="D156" s="38">
        <v>220580384140</v>
      </c>
      <c r="E156" s="38">
        <v>2185101038101</v>
      </c>
      <c r="F156" s="30">
        <f t="shared" si="8"/>
        <v>0.43654824363453926</v>
      </c>
      <c r="G156" s="38">
        <v>492740699381</v>
      </c>
      <c r="H156" s="38">
        <v>1582456317914</v>
      </c>
      <c r="I156" s="38">
        <v>360</v>
      </c>
      <c r="J156" s="34">
        <f t="shared" si="3"/>
        <v>112.09576515261524</v>
      </c>
      <c r="K156" s="6">
        <f>441664131+63805794017</f>
        <v>64247458148</v>
      </c>
      <c r="L156" s="6">
        <f>314905003168+9513125433</f>
        <v>324418128601</v>
      </c>
      <c r="M156" s="38">
        <v>2526776164168</v>
      </c>
      <c r="N156" s="34">
        <f t="shared" si="4"/>
        <v>46.221160367331549</v>
      </c>
      <c r="O156" s="34">
        <f t="shared" si="5"/>
        <v>14.392212048938235</v>
      </c>
      <c r="P156" s="30">
        <f t="shared" si="6"/>
        <v>143.92471347100854</v>
      </c>
      <c r="Q156" s="38">
        <v>935344860312</v>
      </c>
      <c r="R156" s="94">
        <v>181595314508</v>
      </c>
      <c r="S156" s="30">
        <f t="shared" si="1"/>
        <v>753749545804</v>
      </c>
      <c r="T156" s="6">
        <f>2185101038101-1783158507325</f>
        <v>401942530776</v>
      </c>
      <c r="U156" s="38">
        <v>1783158507325</v>
      </c>
      <c r="V156" s="32">
        <f t="shared" si="2"/>
        <v>0.22541043273767788</v>
      </c>
      <c r="W156" s="1"/>
      <c r="X156" s="1"/>
      <c r="Y156" s="1"/>
      <c r="Z156" s="1"/>
    </row>
    <row r="157" spans="1:26" ht="15.75" customHeight="1">
      <c r="A157" s="1"/>
      <c r="B157" s="36" t="s">
        <v>164</v>
      </c>
      <c r="C157" s="38">
        <v>472762014033</v>
      </c>
      <c r="D157" s="38">
        <v>155284557576</v>
      </c>
      <c r="E157" s="38">
        <v>709959168088</v>
      </c>
      <c r="F157" s="30">
        <f t="shared" si="8"/>
        <v>0.44717706415708741</v>
      </c>
      <c r="G157" s="38">
        <v>94201581437</v>
      </c>
      <c r="H157" s="38">
        <v>327735509125</v>
      </c>
      <c r="I157" s="38">
        <v>360</v>
      </c>
      <c r="J157" s="34">
        <f t="shared" si="3"/>
        <v>103.47541957800358</v>
      </c>
      <c r="K157" s="38">
        <v>41038832083</v>
      </c>
      <c r="L157" s="6">
        <f>20009901740+326647893520</f>
        <v>346657795260</v>
      </c>
      <c r="M157" s="38">
        <v>685443920925</v>
      </c>
      <c r="N157" s="34">
        <f t="shared" si="4"/>
        <v>182.06712830013564</v>
      </c>
      <c r="O157" s="34">
        <f t="shared" si="5"/>
        <v>52.331868033940957</v>
      </c>
      <c r="P157" s="30">
        <f t="shared" si="6"/>
        <v>233.21067984419824</v>
      </c>
      <c r="Q157" s="38">
        <v>146765140999</v>
      </c>
      <c r="R157" s="94">
        <v>116101869515</v>
      </c>
      <c r="S157" s="30">
        <f t="shared" si="1"/>
        <v>30663271484</v>
      </c>
      <c r="T157" s="38">
        <v>269032270377</v>
      </c>
      <c r="U157" s="38">
        <v>440926897711</v>
      </c>
      <c r="V157" s="32">
        <f t="shared" si="2"/>
        <v>0.61015164140277467</v>
      </c>
      <c r="W157" s="1"/>
      <c r="X157" s="1"/>
      <c r="Y157" s="1"/>
      <c r="Z157" s="1"/>
    </row>
    <row r="158" spans="1:26" ht="15.75" customHeight="1">
      <c r="A158" s="1"/>
      <c r="B158" s="36" t="s">
        <v>165</v>
      </c>
      <c r="C158" s="38">
        <v>372731501477</v>
      </c>
      <c r="D158" s="38">
        <v>93871952310</v>
      </c>
      <c r="E158" s="38">
        <v>483037173864</v>
      </c>
      <c r="F158" s="30">
        <f t="shared" si="8"/>
        <v>0.57730453111154012</v>
      </c>
      <c r="G158" s="38">
        <v>90719293111</v>
      </c>
      <c r="H158" s="38">
        <v>142263034669</v>
      </c>
      <c r="I158" s="38">
        <v>360</v>
      </c>
      <c r="J158" s="34">
        <f t="shared" si="3"/>
        <v>229.56733346752225</v>
      </c>
      <c r="K158" s="38">
        <v>34839717481</v>
      </c>
      <c r="L158" s="38">
        <v>217260853732</v>
      </c>
      <c r="M158" s="38">
        <v>344361345265</v>
      </c>
      <c r="N158" s="34">
        <f t="shared" si="4"/>
        <v>227.12743000620827</v>
      </c>
      <c r="O158" s="34">
        <f t="shared" si="5"/>
        <v>144.83621795515703</v>
      </c>
      <c r="P158" s="30">
        <f t="shared" si="6"/>
        <v>311.85854551857346</v>
      </c>
      <c r="Q158" s="38">
        <v>64730154674</v>
      </c>
      <c r="R158" s="94">
        <v>9106831</v>
      </c>
      <c r="S158" s="30">
        <f t="shared" si="1"/>
        <v>64721047843</v>
      </c>
      <c r="T158" s="38">
        <v>113947973889</v>
      </c>
      <c r="U158" s="38">
        <v>369089199975</v>
      </c>
      <c r="V158" s="32">
        <f t="shared" si="2"/>
        <v>0.30872746722667094</v>
      </c>
      <c r="W158" s="1"/>
      <c r="X158" s="1"/>
      <c r="Y158" s="1"/>
      <c r="Z158" s="1"/>
    </row>
    <row r="159" spans="1:26" ht="15.75" customHeight="1">
      <c r="A159" s="1"/>
      <c r="B159" s="36" t="s">
        <v>166</v>
      </c>
      <c r="C159" s="38">
        <v>6588109</v>
      </c>
      <c r="D159" s="38">
        <v>10878074</v>
      </c>
      <c r="E159" s="38">
        <v>16745695</v>
      </c>
      <c r="F159" s="30">
        <f t="shared" si="8"/>
        <v>-0.25618315632764121</v>
      </c>
      <c r="G159" s="38">
        <v>2318130</v>
      </c>
      <c r="H159" s="38">
        <v>19594636</v>
      </c>
      <c r="I159" s="38">
        <v>360</v>
      </c>
      <c r="J159" s="34">
        <f t="shared" si="3"/>
        <v>42.589553590074345</v>
      </c>
      <c r="K159" s="6">
        <f>4295353+346557</f>
        <v>4641910</v>
      </c>
      <c r="L159" s="6">
        <f>3290889+417368</f>
        <v>3708257</v>
      </c>
      <c r="M159" s="38">
        <v>40053732</v>
      </c>
      <c r="N159" s="34">
        <f t="shared" si="4"/>
        <v>33.329541427001104</v>
      </c>
      <c r="O159" s="34">
        <f t="shared" si="5"/>
        <v>3.9430285853829621</v>
      </c>
      <c r="P159" s="30">
        <f t="shared" si="6"/>
        <v>71.976066431692487</v>
      </c>
      <c r="Q159" s="38">
        <v>9529476</v>
      </c>
      <c r="R159" s="94"/>
      <c r="S159" s="30">
        <f t="shared" si="1"/>
        <v>9529476</v>
      </c>
      <c r="T159" s="38">
        <v>12041437</v>
      </c>
      <c r="U159" s="38">
        <v>4704258</v>
      </c>
      <c r="V159" s="32">
        <f t="shared" si="2"/>
        <v>2.5596889031171335</v>
      </c>
      <c r="W159" s="1"/>
      <c r="X159" s="1"/>
      <c r="Y159" s="1"/>
      <c r="Z159" s="1"/>
    </row>
    <row r="160" spans="1:26" ht="15.75" customHeight="1">
      <c r="A160" s="1"/>
      <c r="B160" s="9" t="s">
        <v>167</v>
      </c>
      <c r="C160" s="6"/>
      <c r="D160" s="6"/>
      <c r="E160" s="6"/>
      <c r="F160" s="30" t="e">
        <f t="shared" si="8"/>
        <v>#DIV/0!</v>
      </c>
      <c r="G160" s="6"/>
      <c r="H160" s="6"/>
      <c r="I160" s="6"/>
      <c r="J160" s="34" t="e">
        <f t="shared" si="3"/>
        <v>#DIV/0!</v>
      </c>
      <c r="K160" s="6"/>
      <c r="L160" s="6"/>
      <c r="M160" s="6"/>
      <c r="N160" s="34" t="e">
        <f t="shared" si="4"/>
        <v>#DIV/0!</v>
      </c>
      <c r="O160" s="34" t="e">
        <f t="shared" si="5"/>
        <v>#DIV/0!</v>
      </c>
      <c r="P160" s="30" t="e">
        <f t="shared" si="6"/>
        <v>#DIV/0!</v>
      </c>
      <c r="Q160" s="6"/>
      <c r="R160" s="94">
        <v>177908621968</v>
      </c>
      <c r="S160" s="30">
        <f t="shared" si="1"/>
        <v>-177908621968</v>
      </c>
      <c r="T160" s="6"/>
      <c r="U160" s="6"/>
      <c r="V160" s="32" t="e">
        <f t="shared" si="2"/>
        <v>#DIV/0!</v>
      </c>
      <c r="W160" s="1"/>
      <c r="X160" s="1"/>
      <c r="Y160" s="1"/>
      <c r="Z160" s="1"/>
    </row>
    <row r="161" spans="1:26" ht="15.75" customHeight="1">
      <c r="A161" s="1"/>
      <c r="B161" s="36" t="s">
        <v>168</v>
      </c>
      <c r="C161" s="38">
        <v>194043712489</v>
      </c>
      <c r="D161" s="38">
        <v>61704877495</v>
      </c>
      <c r="E161" s="38">
        <v>399336626636</v>
      </c>
      <c r="F161" s="30">
        <f t="shared" si="8"/>
        <v>0.33139668682238954</v>
      </c>
      <c r="G161" s="38">
        <v>78020967439</v>
      </c>
      <c r="H161" s="38">
        <v>230796313016</v>
      </c>
      <c r="I161" s="38">
        <v>360</v>
      </c>
      <c r="J161" s="34">
        <f t="shared" si="3"/>
        <v>121.69842711522357</v>
      </c>
      <c r="K161" s="6">
        <f>35147096918+10286455831</f>
        <v>45433552749</v>
      </c>
      <c r="L161" s="6">
        <f>1742043992+44269993518</f>
        <v>46012037510</v>
      </c>
      <c r="M161" s="38">
        <v>327426146630</v>
      </c>
      <c r="N161" s="34">
        <f t="shared" si="4"/>
        <v>50.589525833800089</v>
      </c>
      <c r="O161" s="34">
        <f t="shared" si="5"/>
        <v>17.101849229106776</v>
      </c>
      <c r="P161" s="30">
        <f t="shared" si="6"/>
        <v>155.1861037199169</v>
      </c>
      <c r="Q161" s="38">
        <v>181812363868</v>
      </c>
      <c r="R161" s="94">
        <v>60407122024</v>
      </c>
      <c r="S161" s="30">
        <f t="shared" si="1"/>
        <v>121405241844</v>
      </c>
      <c r="T161" s="38">
        <v>72906787680</v>
      </c>
      <c r="U161" s="38">
        <v>326429838956</v>
      </c>
      <c r="V161" s="32">
        <f t="shared" si="2"/>
        <v>0.22334596589935893</v>
      </c>
      <c r="W161" s="1"/>
      <c r="X161" s="1"/>
      <c r="Y161" s="1"/>
      <c r="Z161" s="1"/>
    </row>
    <row r="162" spans="1:26" ht="15.75" customHeight="1" thickBot="1">
      <c r="A162" s="1"/>
      <c r="B162" s="36" t="s">
        <v>169</v>
      </c>
      <c r="C162" s="38">
        <v>79416740506</v>
      </c>
      <c r="D162" s="38">
        <v>14856909996</v>
      </c>
      <c r="E162" s="38">
        <v>139809135385</v>
      </c>
      <c r="F162" s="30">
        <f t="shared" si="8"/>
        <v>0.46177118778553411</v>
      </c>
      <c r="G162" s="38">
        <v>55360728016</v>
      </c>
      <c r="H162" s="38">
        <v>81482795340</v>
      </c>
      <c r="I162" s="38">
        <v>360</v>
      </c>
      <c r="J162" s="34">
        <f t="shared" si="3"/>
        <v>244.58981804194937</v>
      </c>
      <c r="K162" s="38">
        <v>1609950883</v>
      </c>
      <c r="L162" s="6">
        <f>2840303857+14533796753</f>
        <v>17374100610</v>
      </c>
      <c r="M162" s="38">
        <v>99382027031</v>
      </c>
      <c r="N162" s="34">
        <f t="shared" si="4"/>
        <v>62.935687734050681</v>
      </c>
      <c r="O162" s="34">
        <f t="shared" si="5"/>
        <v>42.759523364490008</v>
      </c>
      <c r="P162" s="30">
        <f t="shared" si="6"/>
        <v>264.76598241151004</v>
      </c>
      <c r="Q162" s="38">
        <v>46674790441</v>
      </c>
      <c r="R162" s="155">
        <v>350609393322</v>
      </c>
      <c r="S162" s="30">
        <f t="shared" si="1"/>
        <v>-303934602881</v>
      </c>
      <c r="T162" s="38">
        <v>50799380910</v>
      </c>
      <c r="U162" s="38">
        <v>89009754475</v>
      </c>
      <c r="V162" s="32">
        <f t="shared" si="2"/>
        <v>0.57071700972131012</v>
      </c>
      <c r="W162" s="1"/>
      <c r="X162" s="1"/>
      <c r="Y162" s="1"/>
      <c r="Z162" s="1"/>
    </row>
    <row r="163" spans="1:26" ht="15.75" customHeight="1" thickBot="1">
      <c r="A163" s="1"/>
      <c r="B163" s="43" t="s">
        <v>170</v>
      </c>
      <c r="C163" s="44">
        <v>548573737189</v>
      </c>
      <c r="D163" s="44">
        <v>360471900688</v>
      </c>
      <c r="E163" s="44">
        <v>810364824722</v>
      </c>
      <c r="F163" s="30">
        <f t="shared" si="8"/>
        <v>0.23211994247841317</v>
      </c>
      <c r="G163" s="44">
        <v>196262291376</v>
      </c>
      <c r="H163" s="44">
        <v>309581585172</v>
      </c>
      <c r="I163" s="38">
        <v>360</v>
      </c>
      <c r="J163" s="34">
        <f t="shared" si="3"/>
        <v>228.22554143879458</v>
      </c>
      <c r="K163" s="44">
        <v>57600459505</v>
      </c>
      <c r="L163" s="22">
        <f>258773387062+1030780698</f>
        <v>259804167760</v>
      </c>
      <c r="M163" s="44">
        <v>411945398299</v>
      </c>
      <c r="N163" s="34">
        <f t="shared" si="4"/>
        <v>227.04344017386987</v>
      </c>
      <c r="O163" s="34">
        <f t="shared" si="5"/>
        <v>143.93642239946672</v>
      </c>
      <c r="P163" s="30">
        <f t="shared" si="6"/>
        <v>311.33255921319773</v>
      </c>
      <c r="Q163" s="44">
        <v>261611696096</v>
      </c>
      <c r="S163" s="30">
        <f t="shared" si="1"/>
        <v>261611696096</v>
      </c>
      <c r="T163" s="44">
        <v>402192705158</v>
      </c>
      <c r="U163" s="44">
        <v>408172119564</v>
      </c>
      <c r="V163" s="32">
        <f t="shared" si="2"/>
        <v>0.98535075249042714</v>
      </c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24"/>
      <c r="G164" s="1"/>
      <c r="H164" s="1"/>
      <c r="I164" s="1"/>
      <c r="J164" s="25"/>
      <c r="K164" s="1"/>
      <c r="L164" s="1"/>
      <c r="M164" s="1"/>
      <c r="N164" s="25"/>
      <c r="O164" s="25"/>
      <c r="P164" s="24"/>
      <c r="Q164" s="1"/>
      <c r="S164" s="24"/>
      <c r="T164" s="1"/>
      <c r="U164" s="1"/>
      <c r="V164" s="24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24"/>
      <c r="G165" s="1"/>
      <c r="H165" s="1"/>
      <c r="I165" s="1"/>
      <c r="J165" s="25"/>
      <c r="K165" s="1"/>
      <c r="L165" s="1"/>
      <c r="M165" s="1"/>
      <c r="N165" s="25"/>
      <c r="O165" s="25"/>
      <c r="P165" s="24"/>
      <c r="Q165" s="1"/>
      <c r="S165" s="24"/>
      <c r="T165" s="1"/>
      <c r="U165" s="1"/>
      <c r="V165" s="24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24"/>
      <c r="G166" s="1"/>
      <c r="H166" s="1"/>
      <c r="I166" s="1"/>
      <c r="J166" s="25"/>
      <c r="K166" s="1"/>
      <c r="L166" s="1"/>
      <c r="M166" s="1"/>
      <c r="N166" s="25"/>
      <c r="O166" s="25"/>
      <c r="P166" s="24"/>
      <c r="Q166" s="1"/>
      <c r="S166" s="24"/>
      <c r="T166" s="1"/>
      <c r="U166" s="1"/>
      <c r="V166" s="24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24"/>
      <c r="G167" s="1"/>
      <c r="H167" s="1"/>
      <c r="I167" s="1"/>
      <c r="J167" s="25"/>
      <c r="K167" s="1"/>
      <c r="L167" s="1"/>
      <c r="M167" s="1"/>
      <c r="N167" s="25"/>
      <c r="O167" s="25"/>
      <c r="P167" s="24"/>
      <c r="Q167" s="1"/>
      <c r="S167" s="24"/>
      <c r="T167" s="1"/>
      <c r="U167" s="1"/>
      <c r="V167" s="24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24"/>
      <c r="G168" s="1"/>
      <c r="H168" s="1"/>
      <c r="I168" s="1"/>
      <c r="J168" s="25"/>
      <c r="K168" s="1"/>
      <c r="L168" s="1"/>
      <c r="M168" s="1"/>
      <c r="N168" s="25"/>
      <c r="O168" s="25"/>
      <c r="P168" s="24"/>
      <c r="Q168" s="1"/>
      <c r="S168" s="24"/>
      <c r="T168" s="1"/>
      <c r="U168" s="1"/>
      <c r="V168" s="24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24"/>
      <c r="G169" s="1"/>
      <c r="H169" s="1"/>
      <c r="I169" s="1"/>
      <c r="J169" s="25"/>
      <c r="K169" s="1"/>
      <c r="L169" s="1"/>
      <c r="M169" s="1"/>
      <c r="N169" s="25"/>
      <c r="O169" s="25"/>
      <c r="P169" s="24"/>
      <c r="Q169" s="1"/>
      <c r="S169" s="24"/>
      <c r="T169" s="1"/>
      <c r="U169" s="1"/>
      <c r="V169" s="24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24"/>
      <c r="G170" s="1"/>
      <c r="H170" s="1"/>
      <c r="I170" s="1"/>
      <c r="J170" s="25"/>
      <c r="K170" s="1"/>
      <c r="L170" s="1"/>
      <c r="M170" s="1"/>
      <c r="N170" s="25"/>
      <c r="O170" s="25"/>
      <c r="P170" s="24"/>
      <c r="Q170" s="1"/>
      <c r="S170" s="24"/>
      <c r="T170" s="1"/>
      <c r="U170" s="1"/>
      <c r="V170" s="24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24"/>
      <c r="G171" s="1"/>
      <c r="H171" s="1"/>
      <c r="I171" s="1"/>
      <c r="J171" s="25"/>
      <c r="K171" s="1"/>
      <c r="L171" s="1"/>
      <c r="M171" s="1"/>
      <c r="N171" s="25"/>
      <c r="O171" s="25"/>
      <c r="P171" s="24"/>
      <c r="Q171" s="1"/>
      <c r="S171" s="24"/>
      <c r="T171" s="1"/>
      <c r="U171" s="1"/>
      <c r="V171" s="24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24"/>
      <c r="G172" s="1"/>
      <c r="H172" s="1"/>
      <c r="I172" s="1"/>
      <c r="J172" s="25"/>
      <c r="K172" s="1"/>
      <c r="L172" s="1"/>
      <c r="M172" s="1"/>
      <c r="N172" s="25"/>
      <c r="O172" s="25"/>
      <c r="P172" s="24"/>
      <c r="Q172" s="1"/>
      <c r="S172" s="24"/>
      <c r="T172" s="1"/>
      <c r="U172" s="1"/>
      <c r="V172" s="24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24"/>
      <c r="G173" s="1"/>
      <c r="H173" s="1"/>
      <c r="I173" s="1"/>
      <c r="J173" s="25"/>
      <c r="K173" s="1"/>
      <c r="L173" s="1"/>
      <c r="M173" s="1"/>
      <c r="N173" s="25"/>
      <c r="O173" s="25"/>
      <c r="P173" s="24"/>
      <c r="Q173" s="1"/>
      <c r="S173" s="24"/>
      <c r="T173" s="1"/>
      <c r="U173" s="1"/>
      <c r="V173" s="24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24"/>
      <c r="G174" s="1"/>
      <c r="H174" s="1"/>
      <c r="I174" s="1"/>
      <c r="J174" s="25"/>
      <c r="K174" s="1"/>
      <c r="L174" s="1"/>
      <c r="M174" s="1"/>
      <c r="N174" s="25"/>
      <c r="O174" s="25"/>
      <c r="P174" s="24"/>
      <c r="Q174" s="1"/>
      <c r="S174" s="24"/>
      <c r="T174" s="1"/>
      <c r="U174" s="1"/>
      <c r="V174" s="24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24"/>
      <c r="G175" s="1"/>
      <c r="H175" s="1"/>
      <c r="I175" s="1"/>
      <c r="J175" s="25"/>
      <c r="K175" s="1"/>
      <c r="L175" s="1"/>
      <c r="M175" s="1"/>
      <c r="N175" s="25"/>
      <c r="O175" s="25"/>
      <c r="P175" s="24"/>
      <c r="Q175" s="1"/>
      <c r="S175" s="24"/>
      <c r="T175" s="1"/>
      <c r="U175" s="1"/>
      <c r="V175" s="24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24"/>
      <c r="G176" s="1"/>
      <c r="H176" s="1"/>
      <c r="I176" s="1"/>
      <c r="J176" s="25"/>
      <c r="K176" s="1"/>
      <c r="L176" s="1"/>
      <c r="M176" s="1"/>
      <c r="N176" s="25"/>
      <c r="O176" s="25"/>
      <c r="P176" s="24"/>
      <c r="Q176" s="1"/>
      <c r="S176" s="24"/>
      <c r="T176" s="1"/>
      <c r="U176" s="1"/>
      <c r="V176" s="24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24"/>
      <c r="G177" s="1"/>
      <c r="H177" s="1"/>
      <c r="I177" s="1"/>
      <c r="J177" s="25"/>
      <c r="K177" s="1"/>
      <c r="L177" s="1"/>
      <c r="M177" s="1"/>
      <c r="N177" s="25"/>
      <c r="O177" s="25"/>
      <c r="P177" s="24"/>
      <c r="Q177" s="1"/>
      <c r="S177" s="24"/>
      <c r="T177" s="1"/>
      <c r="U177" s="1"/>
      <c r="V177" s="24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24"/>
      <c r="G178" s="1"/>
      <c r="H178" s="1"/>
      <c r="I178" s="1"/>
      <c r="J178" s="25"/>
      <c r="K178" s="1"/>
      <c r="L178" s="1"/>
      <c r="M178" s="1"/>
      <c r="N178" s="25"/>
      <c r="O178" s="25"/>
      <c r="P178" s="24"/>
      <c r="Q178" s="1"/>
      <c r="S178" s="24"/>
      <c r="T178" s="1"/>
      <c r="U178" s="1"/>
      <c r="V178" s="24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24"/>
      <c r="G179" s="1"/>
      <c r="H179" s="1"/>
      <c r="I179" s="1"/>
      <c r="J179" s="25"/>
      <c r="K179" s="1"/>
      <c r="L179" s="1"/>
      <c r="M179" s="1"/>
      <c r="N179" s="25"/>
      <c r="O179" s="25"/>
      <c r="P179" s="24"/>
      <c r="Q179" s="1"/>
      <c r="S179" s="24"/>
      <c r="T179" s="1"/>
      <c r="U179" s="1"/>
      <c r="V179" s="24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24"/>
      <c r="G180" s="1"/>
      <c r="H180" s="1"/>
      <c r="I180" s="1"/>
      <c r="J180" s="25"/>
      <c r="K180" s="1"/>
      <c r="L180" s="1"/>
      <c r="M180" s="1"/>
      <c r="N180" s="25"/>
      <c r="O180" s="25"/>
      <c r="P180" s="24"/>
      <c r="Q180" s="1"/>
      <c r="S180" s="24"/>
      <c r="T180" s="1"/>
      <c r="U180" s="1"/>
      <c r="V180" s="24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24"/>
      <c r="G181" s="1"/>
      <c r="H181" s="1"/>
      <c r="I181" s="1"/>
      <c r="J181" s="25"/>
      <c r="K181" s="1"/>
      <c r="L181" s="1"/>
      <c r="M181" s="1"/>
      <c r="N181" s="25"/>
      <c r="O181" s="25"/>
      <c r="P181" s="24"/>
      <c r="Q181" s="1"/>
      <c r="S181" s="24"/>
      <c r="T181" s="1"/>
      <c r="U181" s="1"/>
      <c r="V181" s="24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24"/>
      <c r="G182" s="1"/>
      <c r="H182" s="1"/>
      <c r="I182" s="1"/>
      <c r="J182" s="25"/>
      <c r="K182" s="1"/>
      <c r="L182" s="1"/>
      <c r="M182" s="1"/>
      <c r="N182" s="25"/>
      <c r="O182" s="25"/>
      <c r="P182" s="24"/>
      <c r="Q182" s="1"/>
      <c r="S182" s="24"/>
      <c r="T182" s="1"/>
      <c r="U182" s="1"/>
      <c r="V182" s="24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24"/>
      <c r="G183" s="1"/>
      <c r="H183" s="1"/>
      <c r="I183" s="1"/>
      <c r="J183" s="25"/>
      <c r="K183" s="1"/>
      <c r="L183" s="1"/>
      <c r="M183" s="1"/>
      <c r="N183" s="25"/>
      <c r="O183" s="25"/>
      <c r="P183" s="24"/>
      <c r="Q183" s="1"/>
      <c r="S183" s="24"/>
      <c r="T183" s="1"/>
      <c r="U183" s="1"/>
      <c r="V183" s="24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24"/>
      <c r="G184" s="1"/>
      <c r="H184" s="1"/>
      <c r="I184" s="1"/>
      <c r="J184" s="25"/>
      <c r="K184" s="1"/>
      <c r="L184" s="1"/>
      <c r="M184" s="1"/>
      <c r="N184" s="25"/>
      <c r="O184" s="25"/>
      <c r="P184" s="24"/>
      <c r="Q184" s="1"/>
      <c r="S184" s="24"/>
      <c r="T184" s="1"/>
      <c r="U184" s="1"/>
      <c r="V184" s="24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24"/>
      <c r="G185" s="1"/>
      <c r="H185" s="1"/>
      <c r="I185" s="1"/>
      <c r="J185" s="25"/>
      <c r="K185" s="1"/>
      <c r="L185" s="1"/>
      <c r="M185" s="1"/>
      <c r="N185" s="25"/>
      <c r="O185" s="25"/>
      <c r="P185" s="24"/>
      <c r="Q185" s="1"/>
      <c r="S185" s="24"/>
      <c r="T185" s="1"/>
      <c r="U185" s="1"/>
      <c r="V185" s="24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24"/>
      <c r="G186" s="1"/>
      <c r="H186" s="1"/>
      <c r="I186" s="1"/>
      <c r="J186" s="25"/>
      <c r="K186" s="1"/>
      <c r="L186" s="1"/>
      <c r="M186" s="1"/>
      <c r="N186" s="25"/>
      <c r="O186" s="25"/>
      <c r="P186" s="24"/>
      <c r="Q186" s="1"/>
      <c r="S186" s="24"/>
      <c r="T186" s="1"/>
      <c r="U186" s="1"/>
      <c r="V186" s="24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24"/>
      <c r="G187" s="1"/>
      <c r="H187" s="1"/>
      <c r="I187" s="1"/>
      <c r="J187" s="25"/>
      <c r="K187" s="1"/>
      <c r="L187" s="1"/>
      <c r="M187" s="1"/>
      <c r="N187" s="25"/>
      <c r="O187" s="25"/>
      <c r="P187" s="24"/>
      <c r="Q187" s="1"/>
      <c r="S187" s="24"/>
      <c r="T187" s="1"/>
      <c r="U187" s="1"/>
      <c r="V187" s="24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24"/>
      <c r="G188" s="1"/>
      <c r="H188" s="1"/>
      <c r="I188" s="1"/>
      <c r="J188" s="25"/>
      <c r="K188" s="1"/>
      <c r="L188" s="1"/>
      <c r="M188" s="1"/>
      <c r="N188" s="25"/>
      <c r="O188" s="25"/>
      <c r="P188" s="24"/>
      <c r="Q188" s="1"/>
      <c r="S188" s="24"/>
      <c r="T188" s="1"/>
      <c r="U188" s="1"/>
      <c r="V188" s="24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24"/>
      <c r="G189" s="1"/>
      <c r="H189" s="1"/>
      <c r="I189" s="1"/>
      <c r="J189" s="25"/>
      <c r="K189" s="1"/>
      <c r="L189" s="1"/>
      <c r="M189" s="1"/>
      <c r="N189" s="25"/>
      <c r="O189" s="25"/>
      <c r="P189" s="24"/>
      <c r="Q189" s="1"/>
      <c r="S189" s="24"/>
      <c r="T189" s="1"/>
      <c r="U189" s="1"/>
      <c r="V189" s="24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24"/>
      <c r="G190" s="1"/>
      <c r="H190" s="1"/>
      <c r="I190" s="1"/>
      <c r="J190" s="25"/>
      <c r="K190" s="1"/>
      <c r="L190" s="1"/>
      <c r="M190" s="1"/>
      <c r="N190" s="25"/>
      <c r="O190" s="25"/>
      <c r="P190" s="24"/>
      <c r="Q190" s="1"/>
      <c r="S190" s="24"/>
      <c r="T190" s="1"/>
      <c r="U190" s="1"/>
      <c r="V190" s="24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24"/>
      <c r="G191" s="1"/>
      <c r="H191" s="1"/>
      <c r="I191" s="1"/>
      <c r="J191" s="25"/>
      <c r="K191" s="1"/>
      <c r="L191" s="1"/>
      <c r="M191" s="1"/>
      <c r="N191" s="25"/>
      <c r="O191" s="25"/>
      <c r="P191" s="24"/>
      <c r="Q191" s="1"/>
      <c r="S191" s="24"/>
      <c r="T191" s="1"/>
      <c r="U191" s="1"/>
      <c r="V191" s="24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24"/>
      <c r="G192" s="1"/>
      <c r="H192" s="1"/>
      <c r="I192" s="1"/>
      <c r="J192" s="25"/>
      <c r="K192" s="1"/>
      <c r="L192" s="1"/>
      <c r="M192" s="1"/>
      <c r="N192" s="25"/>
      <c r="O192" s="25"/>
      <c r="P192" s="24"/>
      <c r="Q192" s="1"/>
      <c r="S192" s="24"/>
      <c r="T192" s="1"/>
      <c r="U192" s="1"/>
      <c r="V192" s="24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24"/>
      <c r="G193" s="1"/>
      <c r="H193" s="1"/>
      <c r="I193" s="1"/>
      <c r="J193" s="25"/>
      <c r="K193" s="1"/>
      <c r="L193" s="1"/>
      <c r="M193" s="1"/>
      <c r="N193" s="25"/>
      <c r="O193" s="25"/>
      <c r="P193" s="24"/>
      <c r="Q193" s="1"/>
      <c r="S193" s="24"/>
      <c r="T193" s="1"/>
      <c r="U193" s="1"/>
      <c r="V193" s="24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24"/>
      <c r="G194" s="1"/>
      <c r="H194" s="1"/>
      <c r="I194" s="1"/>
      <c r="J194" s="25"/>
      <c r="K194" s="1"/>
      <c r="L194" s="1"/>
      <c r="M194" s="1"/>
      <c r="N194" s="25"/>
      <c r="O194" s="25"/>
      <c r="P194" s="24"/>
      <c r="Q194" s="1"/>
      <c r="S194" s="24"/>
      <c r="T194" s="1"/>
      <c r="U194" s="1"/>
      <c r="V194" s="24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24"/>
      <c r="G195" s="1"/>
      <c r="H195" s="1"/>
      <c r="I195" s="1"/>
      <c r="J195" s="25"/>
      <c r="K195" s="1"/>
      <c r="L195" s="1"/>
      <c r="M195" s="1"/>
      <c r="N195" s="25"/>
      <c r="O195" s="25"/>
      <c r="P195" s="24"/>
      <c r="Q195" s="1"/>
      <c r="S195" s="24"/>
      <c r="T195" s="1"/>
      <c r="U195" s="1"/>
      <c r="V195" s="24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24"/>
      <c r="G196" s="1"/>
      <c r="H196" s="1"/>
      <c r="I196" s="1"/>
      <c r="J196" s="25"/>
      <c r="K196" s="1"/>
      <c r="L196" s="1"/>
      <c r="M196" s="1"/>
      <c r="N196" s="25"/>
      <c r="O196" s="25"/>
      <c r="P196" s="24"/>
      <c r="Q196" s="1"/>
      <c r="S196" s="24"/>
      <c r="T196" s="1"/>
      <c r="U196" s="1"/>
      <c r="V196" s="24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24"/>
      <c r="G197" s="1"/>
      <c r="H197" s="1"/>
      <c r="I197" s="1"/>
      <c r="J197" s="25"/>
      <c r="K197" s="1"/>
      <c r="L197" s="1"/>
      <c r="M197" s="1"/>
      <c r="N197" s="25"/>
      <c r="O197" s="25"/>
      <c r="P197" s="24"/>
      <c r="Q197" s="1"/>
      <c r="S197" s="24"/>
      <c r="T197" s="1"/>
      <c r="U197" s="1"/>
      <c r="V197" s="24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24"/>
      <c r="G198" s="1"/>
      <c r="H198" s="1"/>
      <c r="I198" s="1"/>
      <c r="J198" s="25"/>
      <c r="K198" s="1"/>
      <c r="L198" s="1"/>
      <c r="M198" s="1"/>
      <c r="N198" s="25"/>
      <c r="O198" s="25"/>
      <c r="P198" s="24"/>
      <c r="Q198" s="1"/>
      <c r="S198" s="24"/>
      <c r="T198" s="1"/>
      <c r="U198" s="1"/>
      <c r="V198" s="24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24"/>
      <c r="G199" s="1"/>
      <c r="H199" s="1"/>
      <c r="I199" s="1"/>
      <c r="J199" s="25"/>
      <c r="K199" s="1"/>
      <c r="L199" s="1"/>
      <c r="M199" s="1"/>
      <c r="N199" s="25"/>
      <c r="O199" s="25"/>
      <c r="P199" s="24"/>
      <c r="Q199" s="1"/>
      <c r="S199" s="24"/>
      <c r="T199" s="1"/>
      <c r="U199" s="1"/>
      <c r="V199" s="24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24"/>
      <c r="G200" s="1"/>
      <c r="H200" s="1"/>
      <c r="I200" s="1"/>
      <c r="J200" s="25"/>
      <c r="K200" s="1"/>
      <c r="L200" s="1"/>
      <c r="M200" s="1"/>
      <c r="N200" s="25"/>
      <c r="O200" s="25"/>
      <c r="P200" s="24"/>
      <c r="Q200" s="1"/>
      <c r="S200" s="24"/>
      <c r="T200" s="1"/>
      <c r="U200" s="1"/>
      <c r="V200" s="24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24"/>
      <c r="G201" s="1"/>
      <c r="H201" s="1"/>
      <c r="I201" s="1"/>
      <c r="J201" s="25"/>
      <c r="K201" s="1"/>
      <c r="L201" s="1"/>
      <c r="M201" s="1"/>
      <c r="N201" s="25"/>
      <c r="O201" s="25"/>
      <c r="P201" s="24"/>
      <c r="Q201" s="1"/>
      <c r="S201" s="24"/>
      <c r="T201" s="1"/>
      <c r="U201" s="1"/>
      <c r="V201" s="24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24"/>
      <c r="G202" s="1"/>
      <c r="H202" s="1"/>
      <c r="I202" s="1"/>
      <c r="J202" s="25"/>
      <c r="K202" s="1"/>
      <c r="L202" s="1"/>
      <c r="M202" s="1"/>
      <c r="N202" s="25"/>
      <c r="O202" s="25"/>
      <c r="P202" s="24"/>
      <c r="Q202" s="1"/>
      <c r="S202" s="24"/>
      <c r="T202" s="1"/>
      <c r="U202" s="1"/>
      <c r="V202" s="24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24"/>
      <c r="G203" s="1"/>
      <c r="H203" s="1"/>
      <c r="I203" s="1"/>
      <c r="J203" s="25"/>
      <c r="K203" s="1"/>
      <c r="L203" s="1"/>
      <c r="M203" s="1"/>
      <c r="N203" s="25"/>
      <c r="O203" s="25"/>
      <c r="P203" s="24"/>
      <c r="Q203" s="1"/>
      <c r="S203" s="24"/>
      <c r="T203" s="1"/>
      <c r="U203" s="1"/>
      <c r="V203" s="24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24"/>
      <c r="G204" s="1"/>
      <c r="H204" s="1"/>
      <c r="I204" s="1"/>
      <c r="J204" s="25"/>
      <c r="K204" s="1"/>
      <c r="L204" s="1"/>
      <c r="M204" s="1"/>
      <c r="N204" s="25"/>
      <c r="O204" s="25"/>
      <c r="P204" s="24"/>
      <c r="Q204" s="1"/>
      <c r="S204" s="24"/>
      <c r="T204" s="1"/>
      <c r="U204" s="1"/>
      <c r="V204" s="24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24"/>
      <c r="G205" s="1"/>
      <c r="H205" s="1"/>
      <c r="I205" s="1"/>
      <c r="J205" s="25"/>
      <c r="K205" s="1"/>
      <c r="L205" s="1"/>
      <c r="M205" s="1"/>
      <c r="N205" s="25"/>
      <c r="O205" s="25"/>
      <c r="P205" s="24"/>
      <c r="Q205" s="1"/>
      <c r="S205" s="24"/>
      <c r="T205" s="1"/>
      <c r="U205" s="1"/>
      <c r="V205" s="24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24"/>
      <c r="G206" s="1"/>
      <c r="H206" s="1"/>
      <c r="I206" s="1"/>
      <c r="J206" s="25"/>
      <c r="K206" s="1"/>
      <c r="L206" s="1"/>
      <c r="M206" s="1"/>
      <c r="N206" s="25"/>
      <c r="O206" s="25"/>
      <c r="P206" s="24"/>
      <c r="Q206" s="1"/>
      <c r="S206" s="24"/>
      <c r="T206" s="1"/>
      <c r="U206" s="1"/>
      <c r="V206" s="24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24"/>
      <c r="G207" s="1"/>
      <c r="H207" s="1"/>
      <c r="I207" s="1"/>
      <c r="J207" s="25"/>
      <c r="K207" s="1"/>
      <c r="L207" s="1"/>
      <c r="M207" s="1"/>
      <c r="N207" s="25"/>
      <c r="O207" s="25"/>
      <c r="P207" s="24"/>
      <c r="Q207" s="1"/>
      <c r="S207" s="24"/>
      <c r="T207" s="1"/>
      <c r="U207" s="1"/>
      <c r="V207" s="24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24"/>
      <c r="G208" s="1"/>
      <c r="H208" s="1"/>
      <c r="I208" s="1"/>
      <c r="J208" s="25"/>
      <c r="K208" s="1"/>
      <c r="L208" s="1"/>
      <c r="M208" s="1"/>
      <c r="N208" s="25"/>
      <c r="O208" s="25"/>
      <c r="P208" s="24"/>
      <c r="Q208" s="1"/>
      <c r="S208" s="24"/>
      <c r="T208" s="1"/>
      <c r="U208" s="1"/>
      <c r="V208" s="24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24"/>
      <c r="G209" s="1"/>
      <c r="H209" s="1"/>
      <c r="I209" s="1"/>
      <c r="J209" s="25"/>
      <c r="K209" s="1"/>
      <c r="L209" s="1"/>
      <c r="M209" s="1"/>
      <c r="N209" s="25"/>
      <c r="O209" s="25"/>
      <c r="P209" s="24"/>
      <c r="Q209" s="1"/>
      <c r="S209" s="24"/>
      <c r="T209" s="1"/>
      <c r="U209" s="1"/>
      <c r="V209" s="24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24"/>
      <c r="G210" s="1"/>
      <c r="H210" s="1"/>
      <c r="I210" s="1"/>
      <c r="J210" s="25"/>
      <c r="K210" s="1"/>
      <c r="L210" s="1"/>
      <c r="M210" s="1"/>
      <c r="N210" s="25"/>
      <c r="O210" s="25"/>
      <c r="P210" s="24"/>
      <c r="Q210" s="1"/>
      <c r="S210" s="24"/>
      <c r="T210" s="1"/>
      <c r="U210" s="1"/>
      <c r="V210" s="24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24"/>
      <c r="G211" s="1"/>
      <c r="H211" s="1"/>
      <c r="I211" s="1"/>
      <c r="J211" s="25"/>
      <c r="K211" s="1"/>
      <c r="L211" s="1"/>
      <c r="M211" s="1"/>
      <c r="N211" s="25"/>
      <c r="O211" s="25"/>
      <c r="P211" s="24"/>
      <c r="Q211" s="1"/>
      <c r="S211" s="24"/>
      <c r="T211" s="1"/>
      <c r="U211" s="1"/>
      <c r="V211" s="24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24"/>
      <c r="G212" s="1"/>
      <c r="H212" s="1"/>
      <c r="I212" s="1"/>
      <c r="J212" s="25"/>
      <c r="K212" s="1"/>
      <c r="L212" s="1"/>
      <c r="M212" s="1"/>
      <c r="N212" s="25"/>
      <c r="O212" s="25"/>
      <c r="P212" s="24"/>
      <c r="Q212" s="1"/>
      <c r="S212" s="24"/>
      <c r="T212" s="1"/>
      <c r="U212" s="1"/>
      <c r="V212" s="24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24"/>
      <c r="G213" s="1"/>
      <c r="H213" s="1"/>
      <c r="I213" s="1"/>
      <c r="J213" s="25"/>
      <c r="K213" s="1"/>
      <c r="L213" s="1"/>
      <c r="M213" s="1"/>
      <c r="N213" s="25"/>
      <c r="O213" s="25"/>
      <c r="P213" s="24"/>
      <c r="Q213" s="1"/>
      <c r="S213" s="24"/>
      <c r="T213" s="1"/>
      <c r="U213" s="1"/>
      <c r="V213" s="24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24"/>
      <c r="G214" s="1"/>
      <c r="H214" s="1"/>
      <c r="I214" s="1"/>
      <c r="J214" s="25"/>
      <c r="K214" s="1"/>
      <c r="L214" s="1"/>
      <c r="M214" s="1"/>
      <c r="N214" s="25"/>
      <c r="O214" s="25"/>
      <c r="P214" s="24"/>
      <c r="Q214" s="1"/>
      <c r="S214" s="24"/>
      <c r="T214" s="1"/>
      <c r="U214" s="1"/>
      <c r="V214" s="24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24"/>
      <c r="G215" s="1"/>
      <c r="H215" s="1"/>
      <c r="I215" s="1"/>
      <c r="J215" s="25"/>
      <c r="K215" s="1"/>
      <c r="L215" s="1"/>
      <c r="M215" s="1"/>
      <c r="N215" s="25"/>
      <c r="O215" s="25"/>
      <c r="P215" s="24"/>
      <c r="Q215" s="1"/>
      <c r="S215" s="24"/>
      <c r="T215" s="1"/>
      <c r="U215" s="1"/>
      <c r="V215" s="24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24"/>
      <c r="G216" s="1"/>
      <c r="H216" s="1"/>
      <c r="I216" s="1"/>
      <c r="J216" s="25"/>
      <c r="K216" s="1"/>
      <c r="L216" s="1"/>
      <c r="M216" s="1"/>
      <c r="N216" s="25"/>
      <c r="O216" s="25"/>
      <c r="P216" s="24"/>
      <c r="Q216" s="1"/>
      <c r="S216" s="24"/>
      <c r="T216" s="1"/>
      <c r="U216" s="1"/>
      <c r="V216" s="24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24"/>
      <c r="G217" s="1"/>
      <c r="H217" s="1"/>
      <c r="I217" s="1"/>
      <c r="J217" s="25"/>
      <c r="K217" s="1"/>
      <c r="L217" s="1"/>
      <c r="M217" s="1"/>
      <c r="N217" s="25"/>
      <c r="O217" s="25"/>
      <c r="P217" s="24"/>
      <c r="Q217" s="1"/>
      <c r="S217" s="24"/>
      <c r="T217" s="1"/>
      <c r="U217" s="1"/>
      <c r="V217" s="24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24"/>
      <c r="G218" s="1"/>
      <c r="H218" s="1"/>
      <c r="I218" s="1"/>
      <c r="J218" s="25"/>
      <c r="K218" s="1"/>
      <c r="L218" s="1"/>
      <c r="M218" s="1"/>
      <c r="N218" s="25"/>
      <c r="O218" s="25"/>
      <c r="P218" s="24"/>
      <c r="Q218" s="1"/>
      <c r="S218" s="24"/>
      <c r="T218" s="1"/>
      <c r="U218" s="1"/>
      <c r="V218" s="24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24"/>
      <c r="G219" s="1"/>
      <c r="H219" s="1"/>
      <c r="I219" s="1"/>
      <c r="J219" s="25"/>
      <c r="K219" s="1"/>
      <c r="L219" s="1"/>
      <c r="M219" s="1"/>
      <c r="N219" s="25"/>
      <c r="O219" s="25"/>
      <c r="P219" s="24"/>
      <c r="Q219" s="1"/>
      <c r="S219" s="24"/>
      <c r="T219" s="1"/>
      <c r="U219" s="1"/>
      <c r="V219" s="24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24"/>
      <c r="G220" s="1"/>
      <c r="H220" s="1"/>
      <c r="I220" s="1"/>
      <c r="J220" s="25"/>
      <c r="K220" s="1"/>
      <c r="L220" s="1"/>
      <c r="M220" s="1"/>
      <c r="N220" s="25"/>
      <c r="O220" s="25"/>
      <c r="P220" s="24"/>
      <c r="Q220" s="1"/>
      <c r="S220" s="24"/>
      <c r="T220" s="1"/>
      <c r="U220" s="1"/>
      <c r="V220" s="24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24"/>
      <c r="G221" s="1"/>
      <c r="H221" s="1"/>
      <c r="I221" s="1"/>
      <c r="J221" s="25"/>
      <c r="K221" s="1"/>
      <c r="L221" s="1"/>
      <c r="M221" s="1"/>
      <c r="N221" s="25"/>
      <c r="O221" s="25"/>
      <c r="P221" s="24"/>
      <c r="Q221" s="1"/>
      <c r="S221" s="24"/>
      <c r="T221" s="1"/>
      <c r="U221" s="1"/>
      <c r="V221" s="24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24"/>
      <c r="G222" s="1"/>
      <c r="H222" s="1"/>
      <c r="I222" s="1"/>
      <c r="J222" s="25"/>
      <c r="K222" s="1"/>
      <c r="L222" s="1"/>
      <c r="M222" s="1"/>
      <c r="N222" s="25"/>
      <c r="O222" s="25"/>
      <c r="P222" s="24"/>
      <c r="Q222" s="1"/>
      <c r="S222" s="24"/>
      <c r="T222" s="1"/>
      <c r="U222" s="1"/>
      <c r="V222" s="24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24"/>
      <c r="G223" s="1"/>
      <c r="H223" s="1"/>
      <c r="I223" s="1"/>
      <c r="J223" s="25"/>
      <c r="K223" s="1"/>
      <c r="L223" s="1"/>
      <c r="M223" s="1"/>
      <c r="N223" s="25"/>
      <c r="O223" s="25"/>
      <c r="P223" s="24"/>
      <c r="Q223" s="1"/>
      <c r="S223" s="24"/>
      <c r="T223" s="1"/>
      <c r="U223" s="1"/>
      <c r="V223" s="24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24"/>
      <c r="G224" s="1"/>
      <c r="H224" s="1"/>
      <c r="I224" s="1"/>
      <c r="J224" s="25"/>
      <c r="K224" s="1"/>
      <c r="L224" s="1"/>
      <c r="M224" s="1"/>
      <c r="N224" s="25"/>
      <c r="O224" s="25"/>
      <c r="P224" s="24"/>
      <c r="Q224" s="1"/>
      <c r="S224" s="24"/>
      <c r="T224" s="1"/>
      <c r="U224" s="1"/>
      <c r="V224" s="24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24"/>
      <c r="G225" s="1"/>
      <c r="H225" s="1"/>
      <c r="I225" s="1"/>
      <c r="J225" s="25"/>
      <c r="K225" s="1"/>
      <c r="L225" s="1"/>
      <c r="M225" s="1"/>
      <c r="N225" s="25"/>
      <c r="O225" s="25"/>
      <c r="P225" s="24"/>
      <c r="Q225" s="1"/>
      <c r="S225" s="24"/>
      <c r="T225" s="1"/>
      <c r="U225" s="1"/>
      <c r="V225" s="24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24"/>
      <c r="G226" s="1"/>
      <c r="H226" s="1"/>
      <c r="I226" s="1"/>
      <c r="J226" s="25"/>
      <c r="K226" s="1"/>
      <c r="L226" s="1"/>
      <c r="M226" s="1"/>
      <c r="N226" s="25"/>
      <c r="O226" s="25"/>
      <c r="P226" s="24"/>
      <c r="Q226" s="1"/>
      <c r="S226" s="24"/>
      <c r="T226" s="1"/>
      <c r="U226" s="1"/>
      <c r="V226" s="24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24"/>
      <c r="G227" s="1"/>
      <c r="H227" s="1"/>
      <c r="I227" s="1"/>
      <c r="J227" s="25"/>
      <c r="K227" s="1"/>
      <c r="L227" s="1"/>
      <c r="M227" s="1"/>
      <c r="N227" s="25"/>
      <c r="O227" s="25"/>
      <c r="P227" s="24"/>
      <c r="Q227" s="1"/>
      <c r="S227" s="24"/>
      <c r="T227" s="1"/>
      <c r="U227" s="1"/>
      <c r="V227" s="24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24"/>
      <c r="G228" s="1"/>
      <c r="H228" s="1"/>
      <c r="I228" s="1"/>
      <c r="J228" s="25"/>
      <c r="K228" s="1"/>
      <c r="L228" s="1"/>
      <c r="M228" s="1"/>
      <c r="N228" s="25"/>
      <c r="O228" s="25"/>
      <c r="P228" s="24"/>
      <c r="Q228" s="1"/>
      <c r="S228" s="24"/>
      <c r="T228" s="1"/>
      <c r="U228" s="1"/>
      <c r="V228" s="24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24"/>
      <c r="G229" s="1"/>
      <c r="H229" s="1"/>
      <c r="I229" s="1"/>
      <c r="J229" s="25"/>
      <c r="K229" s="1"/>
      <c r="L229" s="1"/>
      <c r="M229" s="1"/>
      <c r="N229" s="25"/>
      <c r="O229" s="25"/>
      <c r="P229" s="24"/>
      <c r="Q229" s="1"/>
      <c r="S229" s="24"/>
      <c r="T229" s="1"/>
      <c r="U229" s="1"/>
      <c r="V229" s="24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24"/>
      <c r="G230" s="1"/>
      <c r="H230" s="1"/>
      <c r="I230" s="1"/>
      <c r="J230" s="25"/>
      <c r="K230" s="1"/>
      <c r="L230" s="1"/>
      <c r="M230" s="1"/>
      <c r="N230" s="25"/>
      <c r="O230" s="25"/>
      <c r="P230" s="24"/>
      <c r="Q230" s="1"/>
      <c r="S230" s="24"/>
      <c r="T230" s="1"/>
      <c r="U230" s="1"/>
      <c r="V230" s="24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24"/>
      <c r="G231" s="1"/>
      <c r="H231" s="1"/>
      <c r="I231" s="1"/>
      <c r="J231" s="25"/>
      <c r="K231" s="1"/>
      <c r="L231" s="1"/>
      <c r="M231" s="1"/>
      <c r="N231" s="25"/>
      <c r="O231" s="25"/>
      <c r="P231" s="24"/>
      <c r="Q231" s="1"/>
      <c r="S231" s="24"/>
      <c r="T231" s="1"/>
      <c r="U231" s="1"/>
      <c r="V231" s="24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24"/>
      <c r="G232" s="1"/>
      <c r="H232" s="1"/>
      <c r="I232" s="1"/>
      <c r="J232" s="25"/>
      <c r="K232" s="1"/>
      <c r="L232" s="1"/>
      <c r="M232" s="1"/>
      <c r="N232" s="25"/>
      <c r="O232" s="25"/>
      <c r="P232" s="24"/>
      <c r="Q232" s="1"/>
      <c r="S232" s="24"/>
      <c r="T232" s="1"/>
      <c r="U232" s="1"/>
      <c r="V232" s="24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24"/>
      <c r="G233" s="1"/>
      <c r="H233" s="1"/>
      <c r="I233" s="1"/>
      <c r="J233" s="25"/>
      <c r="K233" s="1"/>
      <c r="L233" s="1"/>
      <c r="M233" s="1"/>
      <c r="N233" s="25"/>
      <c r="O233" s="25"/>
      <c r="P233" s="24"/>
      <c r="Q233" s="1"/>
      <c r="S233" s="24"/>
      <c r="T233" s="1"/>
      <c r="U233" s="1"/>
      <c r="V233" s="24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24"/>
      <c r="G234" s="1"/>
      <c r="H234" s="1"/>
      <c r="I234" s="1"/>
      <c r="J234" s="25"/>
      <c r="K234" s="1"/>
      <c r="L234" s="1"/>
      <c r="M234" s="1"/>
      <c r="N234" s="25"/>
      <c r="O234" s="25"/>
      <c r="P234" s="24"/>
      <c r="Q234" s="1"/>
      <c r="S234" s="24"/>
      <c r="T234" s="1"/>
      <c r="U234" s="1"/>
      <c r="V234" s="24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24"/>
      <c r="G235" s="1"/>
      <c r="H235" s="1"/>
      <c r="I235" s="1"/>
      <c r="J235" s="25"/>
      <c r="K235" s="1"/>
      <c r="L235" s="1"/>
      <c r="M235" s="1"/>
      <c r="N235" s="25"/>
      <c r="O235" s="25"/>
      <c r="P235" s="24"/>
      <c r="Q235" s="1"/>
      <c r="S235" s="24"/>
      <c r="T235" s="1"/>
      <c r="U235" s="1"/>
      <c r="V235" s="24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24"/>
      <c r="G236" s="1"/>
      <c r="H236" s="1"/>
      <c r="I236" s="1"/>
      <c r="J236" s="25"/>
      <c r="K236" s="1"/>
      <c r="L236" s="1"/>
      <c r="M236" s="1"/>
      <c r="N236" s="25"/>
      <c r="O236" s="25"/>
      <c r="P236" s="24"/>
      <c r="Q236" s="1"/>
      <c r="S236" s="24"/>
      <c r="T236" s="1"/>
      <c r="U236" s="1"/>
      <c r="V236" s="24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24"/>
      <c r="G237" s="1"/>
      <c r="H237" s="1"/>
      <c r="I237" s="1"/>
      <c r="J237" s="25"/>
      <c r="K237" s="1"/>
      <c r="L237" s="1"/>
      <c r="M237" s="1"/>
      <c r="N237" s="25"/>
      <c r="O237" s="25"/>
      <c r="P237" s="24"/>
      <c r="Q237" s="1"/>
      <c r="S237" s="24"/>
      <c r="T237" s="1"/>
      <c r="U237" s="1"/>
      <c r="V237" s="24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24"/>
      <c r="G238" s="1"/>
      <c r="H238" s="1"/>
      <c r="I238" s="1"/>
      <c r="J238" s="25"/>
      <c r="K238" s="1"/>
      <c r="L238" s="1"/>
      <c r="M238" s="1"/>
      <c r="N238" s="25"/>
      <c r="O238" s="25"/>
      <c r="P238" s="24"/>
      <c r="Q238" s="1"/>
      <c r="S238" s="24"/>
      <c r="T238" s="1"/>
      <c r="U238" s="1"/>
      <c r="V238" s="24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24"/>
      <c r="G239" s="1"/>
      <c r="H239" s="1"/>
      <c r="I239" s="1"/>
      <c r="J239" s="25"/>
      <c r="K239" s="1"/>
      <c r="L239" s="1"/>
      <c r="M239" s="1"/>
      <c r="N239" s="25"/>
      <c r="O239" s="25"/>
      <c r="P239" s="24"/>
      <c r="Q239" s="1"/>
      <c r="S239" s="24"/>
      <c r="T239" s="1"/>
      <c r="U239" s="1"/>
      <c r="V239" s="24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24"/>
      <c r="G240" s="1"/>
      <c r="H240" s="1"/>
      <c r="I240" s="1"/>
      <c r="J240" s="25"/>
      <c r="K240" s="1"/>
      <c r="L240" s="1"/>
      <c r="M240" s="1"/>
      <c r="N240" s="25"/>
      <c r="O240" s="25"/>
      <c r="P240" s="24"/>
      <c r="Q240" s="1"/>
      <c r="S240" s="24"/>
      <c r="T240" s="1"/>
      <c r="U240" s="1"/>
      <c r="V240" s="24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24"/>
      <c r="G241" s="1"/>
      <c r="H241" s="1"/>
      <c r="I241" s="1"/>
      <c r="J241" s="25"/>
      <c r="K241" s="1"/>
      <c r="L241" s="1"/>
      <c r="M241" s="1"/>
      <c r="N241" s="25"/>
      <c r="O241" s="25"/>
      <c r="P241" s="24"/>
      <c r="Q241" s="1"/>
      <c r="S241" s="24"/>
      <c r="T241" s="1"/>
      <c r="U241" s="1"/>
      <c r="V241" s="24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24"/>
      <c r="G242" s="1"/>
      <c r="H242" s="1"/>
      <c r="I242" s="1"/>
      <c r="J242" s="25"/>
      <c r="K242" s="1"/>
      <c r="L242" s="1"/>
      <c r="M242" s="1"/>
      <c r="N242" s="25"/>
      <c r="O242" s="25"/>
      <c r="P242" s="24"/>
      <c r="Q242" s="1"/>
      <c r="S242" s="24"/>
      <c r="T242" s="1"/>
      <c r="U242" s="1"/>
      <c r="V242" s="24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24"/>
      <c r="G243" s="1"/>
      <c r="H243" s="1"/>
      <c r="I243" s="1"/>
      <c r="J243" s="25"/>
      <c r="K243" s="1"/>
      <c r="L243" s="1"/>
      <c r="M243" s="1"/>
      <c r="N243" s="25"/>
      <c r="O243" s="25"/>
      <c r="P243" s="24"/>
      <c r="Q243" s="1"/>
      <c r="S243" s="24"/>
      <c r="T243" s="1"/>
      <c r="U243" s="1"/>
      <c r="V243" s="24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24"/>
      <c r="G244" s="1"/>
      <c r="H244" s="1"/>
      <c r="I244" s="1"/>
      <c r="J244" s="25"/>
      <c r="K244" s="1"/>
      <c r="L244" s="1"/>
      <c r="M244" s="1"/>
      <c r="N244" s="25"/>
      <c r="O244" s="25"/>
      <c r="P244" s="24"/>
      <c r="Q244" s="1"/>
      <c r="S244" s="24"/>
      <c r="T244" s="1"/>
      <c r="U244" s="1"/>
      <c r="V244" s="24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24"/>
      <c r="G245" s="1"/>
      <c r="H245" s="1"/>
      <c r="I245" s="1"/>
      <c r="J245" s="25"/>
      <c r="K245" s="1"/>
      <c r="L245" s="1"/>
      <c r="M245" s="1"/>
      <c r="N245" s="25"/>
      <c r="O245" s="25"/>
      <c r="P245" s="24"/>
      <c r="Q245" s="1"/>
      <c r="S245" s="24"/>
      <c r="T245" s="1"/>
      <c r="U245" s="1"/>
      <c r="V245" s="24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24"/>
      <c r="G246" s="1"/>
      <c r="H246" s="1"/>
      <c r="I246" s="1"/>
      <c r="J246" s="25"/>
      <c r="K246" s="1"/>
      <c r="L246" s="1"/>
      <c r="M246" s="1"/>
      <c r="N246" s="25"/>
      <c r="O246" s="25"/>
      <c r="P246" s="24"/>
      <c r="Q246" s="1"/>
      <c r="S246" s="24"/>
      <c r="T246" s="1"/>
      <c r="U246" s="1"/>
      <c r="V246" s="24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24"/>
      <c r="G247" s="1"/>
      <c r="H247" s="1"/>
      <c r="I247" s="1"/>
      <c r="J247" s="25"/>
      <c r="K247" s="1"/>
      <c r="L247" s="1"/>
      <c r="M247" s="1"/>
      <c r="N247" s="25"/>
      <c r="O247" s="25"/>
      <c r="P247" s="24"/>
      <c r="Q247" s="1"/>
      <c r="S247" s="24"/>
      <c r="T247" s="1"/>
      <c r="U247" s="1"/>
      <c r="V247" s="24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24"/>
      <c r="G248" s="1"/>
      <c r="H248" s="1"/>
      <c r="I248" s="1"/>
      <c r="J248" s="25"/>
      <c r="K248" s="1"/>
      <c r="L248" s="1"/>
      <c r="M248" s="1"/>
      <c r="N248" s="25"/>
      <c r="O248" s="25"/>
      <c r="P248" s="24"/>
      <c r="Q248" s="1"/>
      <c r="S248" s="24"/>
      <c r="T248" s="1"/>
      <c r="U248" s="1"/>
      <c r="V248" s="24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24"/>
      <c r="G249" s="1"/>
      <c r="H249" s="1"/>
      <c r="I249" s="1"/>
      <c r="J249" s="25"/>
      <c r="K249" s="1"/>
      <c r="L249" s="1"/>
      <c r="M249" s="1"/>
      <c r="N249" s="25"/>
      <c r="O249" s="25"/>
      <c r="P249" s="24"/>
      <c r="Q249" s="1"/>
      <c r="S249" s="24"/>
      <c r="T249" s="1"/>
      <c r="U249" s="1"/>
      <c r="V249" s="24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24"/>
      <c r="G250" s="1"/>
      <c r="H250" s="1"/>
      <c r="I250" s="1"/>
      <c r="J250" s="25"/>
      <c r="K250" s="1"/>
      <c r="L250" s="1"/>
      <c r="M250" s="1"/>
      <c r="N250" s="25"/>
      <c r="O250" s="25"/>
      <c r="P250" s="24"/>
      <c r="Q250" s="1"/>
      <c r="S250" s="24"/>
      <c r="T250" s="1"/>
      <c r="U250" s="1"/>
      <c r="V250" s="24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24"/>
      <c r="G251" s="1"/>
      <c r="H251" s="1"/>
      <c r="I251" s="1"/>
      <c r="J251" s="25"/>
      <c r="K251" s="1"/>
      <c r="L251" s="1"/>
      <c r="M251" s="1"/>
      <c r="N251" s="25"/>
      <c r="O251" s="25"/>
      <c r="P251" s="24"/>
      <c r="Q251" s="1"/>
      <c r="S251" s="24"/>
      <c r="T251" s="1"/>
      <c r="U251" s="1"/>
      <c r="V251" s="24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24"/>
      <c r="G252" s="1"/>
      <c r="H252" s="1"/>
      <c r="I252" s="1"/>
      <c r="J252" s="25"/>
      <c r="K252" s="1"/>
      <c r="L252" s="1"/>
      <c r="M252" s="1"/>
      <c r="N252" s="25"/>
      <c r="O252" s="25"/>
      <c r="P252" s="24"/>
      <c r="Q252" s="1"/>
      <c r="S252" s="24"/>
      <c r="T252" s="1"/>
      <c r="U252" s="1"/>
      <c r="V252" s="24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24"/>
      <c r="G253" s="1"/>
      <c r="H253" s="1"/>
      <c r="I253" s="1"/>
      <c r="J253" s="25"/>
      <c r="K253" s="1"/>
      <c r="L253" s="1"/>
      <c r="M253" s="1"/>
      <c r="N253" s="25"/>
      <c r="O253" s="25"/>
      <c r="P253" s="24"/>
      <c r="Q253" s="1"/>
      <c r="S253" s="24"/>
      <c r="T253" s="1"/>
      <c r="U253" s="1"/>
      <c r="V253" s="24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24"/>
      <c r="G254" s="1"/>
      <c r="H254" s="1"/>
      <c r="I254" s="1"/>
      <c r="J254" s="25"/>
      <c r="K254" s="1"/>
      <c r="L254" s="1"/>
      <c r="M254" s="1"/>
      <c r="N254" s="25"/>
      <c r="O254" s="25"/>
      <c r="P254" s="24"/>
      <c r="Q254" s="1"/>
      <c r="S254" s="24"/>
      <c r="T254" s="1"/>
      <c r="U254" s="1"/>
      <c r="V254" s="24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24"/>
      <c r="G255" s="1"/>
      <c r="H255" s="1"/>
      <c r="I255" s="1"/>
      <c r="J255" s="25"/>
      <c r="K255" s="1"/>
      <c r="L255" s="1"/>
      <c r="M255" s="1"/>
      <c r="N255" s="25"/>
      <c r="O255" s="25"/>
      <c r="P255" s="24"/>
      <c r="Q255" s="1"/>
      <c r="S255" s="24"/>
      <c r="T255" s="1"/>
      <c r="U255" s="1"/>
      <c r="V255" s="24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24"/>
      <c r="G256" s="1"/>
      <c r="H256" s="1"/>
      <c r="I256" s="1"/>
      <c r="J256" s="25"/>
      <c r="K256" s="1"/>
      <c r="L256" s="1"/>
      <c r="M256" s="1"/>
      <c r="N256" s="25"/>
      <c r="O256" s="25"/>
      <c r="P256" s="24"/>
      <c r="Q256" s="1"/>
      <c r="S256" s="24"/>
      <c r="T256" s="1"/>
      <c r="U256" s="1"/>
      <c r="V256" s="24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24"/>
      <c r="G257" s="1"/>
      <c r="H257" s="1"/>
      <c r="I257" s="1"/>
      <c r="J257" s="25"/>
      <c r="K257" s="1"/>
      <c r="L257" s="1"/>
      <c r="M257" s="1"/>
      <c r="N257" s="25"/>
      <c r="O257" s="25"/>
      <c r="P257" s="24"/>
      <c r="Q257" s="1"/>
      <c r="S257" s="24"/>
      <c r="T257" s="1"/>
      <c r="U257" s="1"/>
      <c r="V257" s="24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24"/>
      <c r="G258" s="1"/>
      <c r="H258" s="1"/>
      <c r="I258" s="1"/>
      <c r="J258" s="25"/>
      <c r="K258" s="1"/>
      <c r="L258" s="1"/>
      <c r="M258" s="1"/>
      <c r="N258" s="25"/>
      <c r="O258" s="25"/>
      <c r="P258" s="24"/>
      <c r="Q258" s="1"/>
      <c r="S258" s="24"/>
      <c r="T258" s="1"/>
      <c r="U258" s="1"/>
      <c r="V258" s="24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24"/>
      <c r="G259" s="1"/>
      <c r="H259" s="1"/>
      <c r="I259" s="1"/>
      <c r="J259" s="25"/>
      <c r="K259" s="1"/>
      <c r="L259" s="1"/>
      <c r="M259" s="1"/>
      <c r="N259" s="25"/>
      <c r="O259" s="25"/>
      <c r="P259" s="24"/>
      <c r="Q259" s="1"/>
      <c r="S259" s="24"/>
      <c r="T259" s="1"/>
      <c r="U259" s="1"/>
      <c r="V259" s="24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24"/>
      <c r="G260" s="1"/>
      <c r="H260" s="1"/>
      <c r="I260" s="1"/>
      <c r="J260" s="25"/>
      <c r="K260" s="1"/>
      <c r="L260" s="1"/>
      <c r="M260" s="1"/>
      <c r="N260" s="25"/>
      <c r="O260" s="25"/>
      <c r="P260" s="24"/>
      <c r="Q260" s="1"/>
      <c r="S260" s="24"/>
      <c r="T260" s="1"/>
      <c r="U260" s="1"/>
      <c r="V260" s="24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24"/>
      <c r="G261" s="1"/>
      <c r="H261" s="1"/>
      <c r="I261" s="1"/>
      <c r="J261" s="25"/>
      <c r="K261" s="1"/>
      <c r="L261" s="1"/>
      <c r="M261" s="1"/>
      <c r="N261" s="25"/>
      <c r="O261" s="25"/>
      <c r="P261" s="24"/>
      <c r="Q261" s="1"/>
      <c r="S261" s="24"/>
      <c r="T261" s="1"/>
      <c r="U261" s="1"/>
      <c r="V261" s="24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24"/>
      <c r="G262" s="1"/>
      <c r="H262" s="1"/>
      <c r="I262" s="1"/>
      <c r="J262" s="25"/>
      <c r="K262" s="1"/>
      <c r="L262" s="1"/>
      <c r="M262" s="1"/>
      <c r="N262" s="25"/>
      <c r="O262" s="25"/>
      <c r="P262" s="24"/>
      <c r="Q262" s="1"/>
      <c r="S262" s="24"/>
      <c r="T262" s="1"/>
      <c r="U262" s="1"/>
      <c r="V262" s="24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24"/>
      <c r="G263" s="1"/>
      <c r="H263" s="1"/>
      <c r="I263" s="1"/>
      <c r="J263" s="25"/>
      <c r="K263" s="1"/>
      <c r="L263" s="1"/>
      <c r="M263" s="1"/>
      <c r="N263" s="25"/>
      <c r="O263" s="25"/>
      <c r="P263" s="24"/>
      <c r="Q263" s="1"/>
      <c r="S263" s="24"/>
      <c r="T263" s="1"/>
      <c r="U263" s="1"/>
      <c r="V263" s="24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24"/>
      <c r="G264" s="1"/>
      <c r="H264" s="1"/>
      <c r="I264" s="1"/>
      <c r="J264" s="25"/>
      <c r="K264" s="1"/>
      <c r="L264" s="1"/>
      <c r="M264" s="1"/>
      <c r="N264" s="25"/>
      <c r="O264" s="25"/>
      <c r="P264" s="24"/>
      <c r="Q264" s="1"/>
      <c r="S264" s="24"/>
      <c r="T264" s="1"/>
      <c r="U264" s="1"/>
      <c r="V264" s="24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24"/>
      <c r="G265" s="1"/>
      <c r="H265" s="1"/>
      <c r="I265" s="1"/>
      <c r="J265" s="25"/>
      <c r="K265" s="1"/>
      <c r="L265" s="1"/>
      <c r="M265" s="1"/>
      <c r="N265" s="25"/>
      <c r="O265" s="25"/>
      <c r="P265" s="24"/>
      <c r="Q265" s="1"/>
      <c r="S265" s="24"/>
      <c r="T265" s="1"/>
      <c r="U265" s="1"/>
      <c r="V265" s="24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24"/>
      <c r="G266" s="1"/>
      <c r="H266" s="1"/>
      <c r="I266" s="1"/>
      <c r="J266" s="25"/>
      <c r="K266" s="1"/>
      <c r="L266" s="1"/>
      <c r="M266" s="1"/>
      <c r="N266" s="25"/>
      <c r="O266" s="25"/>
      <c r="P266" s="24"/>
      <c r="Q266" s="1"/>
      <c r="S266" s="24"/>
      <c r="T266" s="1"/>
      <c r="U266" s="1"/>
      <c r="V266" s="24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24"/>
      <c r="G267" s="1"/>
      <c r="H267" s="1"/>
      <c r="I267" s="1"/>
      <c r="J267" s="25"/>
      <c r="K267" s="1"/>
      <c r="L267" s="1"/>
      <c r="M267" s="1"/>
      <c r="N267" s="25"/>
      <c r="O267" s="25"/>
      <c r="P267" s="24"/>
      <c r="Q267" s="1"/>
      <c r="S267" s="24"/>
      <c r="T267" s="1"/>
      <c r="U267" s="1"/>
      <c r="V267" s="24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24"/>
      <c r="G268" s="1"/>
      <c r="H268" s="1"/>
      <c r="I268" s="1"/>
      <c r="J268" s="25"/>
      <c r="K268" s="1"/>
      <c r="L268" s="1"/>
      <c r="M268" s="1"/>
      <c r="N268" s="25"/>
      <c r="O268" s="25"/>
      <c r="P268" s="24"/>
      <c r="Q268" s="1"/>
      <c r="S268" s="24"/>
      <c r="T268" s="1"/>
      <c r="U268" s="1"/>
      <c r="V268" s="24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24"/>
      <c r="G269" s="1"/>
      <c r="H269" s="1"/>
      <c r="I269" s="1"/>
      <c r="J269" s="25"/>
      <c r="K269" s="1"/>
      <c r="L269" s="1"/>
      <c r="M269" s="1"/>
      <c r="N269" s="25"/>
      <c r="O269" s="25"/>
      <c r="P269" s="24"/>
      <c r="Q269" s="1"/>
      <c r="S269" s="24"/>
      <c r="T269" s="1"/>
      <c r="U269" s="1"/>
      <c r="V269" s="24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24"/>
      <c r="G270" s="1"/>
      <c r="H270" s="1"/>
      <c r="I270" s="1"/>
      <c r="J270" s="25"/>
      <c r="K270" s="1"/>
      <c r="L270" s="1"/>
      <c r="M270" s="1"/>
      <c r="N270" s="25"/>
      <c r="O270" s="25"/>
      <c r="P270" s="24"/>
      <c r="Q270" s="1"/>
      <c r="S270" s="24"/>
      <c r="T270" s="1"/>
      <c r="U270" s="1"/>
      <c r="V270" s="24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24"/>
      <c r="G271" s="1"/>
      <c r="H271" s="1"/>
      <c r="I271" s="1"/>
      <c r="J271" s="25"/>
      <c r="K271" s="1"/>
      <c r="L271" s="1"/>
      <c r="M271" s="1"/>
      <c r="N271" s="25"/>
      <c r="O271" s="25"/>
      <c r="P271" s="24"/>
      <c r="Q271" s="1"/>
      <c r="S271" s="24"/>
      <c r="T271" s="1"/>
      <c r="U271" s="1"/>
      <c r="V271" s="24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24"/>
      <c r="G272" s="1"/>
      <c r="H272" s="1"/>
      <c r="I272" s="1"/>
      <c r="J272" s="25"/>
      <c r="K272" s="1"/>
      <c r="L272" s="1"/>
      <c r="M272" s="1"/>
      <c r="N272" s="25"/>
      <c r="O272" s="25"/>
      <c r="P272" s="24"/>
      <c r="Q272" s="1"/>
      <c r="S272" s="24"/>
      <c r="T272" s="1"/>
      <c r="U272" s="1"/>
      <c r="V272" s="24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24"/>
      <c r="G273" s="1"/>
      <c r="H273" s="1"/>
      <c r="I273" s="1"/>
      <c r="J273" s="25"/>
      <c r="K273" s="1"/>
      <c r="L273" s="1"/>
      <c r="M273" s="1"/>
      <c r="N273" s="25"/>
      <c r="O273" s="25"/>
      <c r="P273" s="24"/>
      <c r="Q273" s="1"/>
      <c r="S273" s="24"/>
      <c r="T273" s="1"/>
      <c r="U273" s="1"/>
      <c r="V273" s="24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24"/>
      <c r="G274" s="1"/>
      <c r="H274" s="1"/>
      <c r="I274" s="1"/>
      <c r="J274" s="25"/>
      <c r="K274" s="1"/>
      <c r="L274" s="1"/>
      <c r="M274" s="1"/>
      <c r="N274" s="25"/>
      <c r="O274" s="25"/>
      <c r="P274" s="24"/>
      <c r="Q274" s="1"/>
      <c r="S274" s="24"/>
      <c r="T274" s="1"/>
      <c r="U274" s="1"/>
      <c r="V274" s="24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24"/>
      <c r="G275" s="1"/>
      <c r="H275" s="1"/>
      <c r="I275" s="1"/>
      <c r="J275" s="25"/>
      <c r="K275" s="1"/>
      <c r="L275" s="1"/>
      <c r="M275" s="1"/>
      <c r="N275" s="25"/>
      <c r="O275" s="25"/>
      <c r="P275" s="24"/>
      <c r="Q275" s="1"/>
      <c r="S275" s="24"/>
      <c r="T275" s="1"/>
      <c r="U275" s="1"/>
      <c r="V275" s="24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24"/>
      <c r="G276" s="1"/>
      <c r="H276" s="1"/>
      <c r="I276" s="1"/>
      <c r="J276" s="25"/>
      <c r="K276" s="1"/>
      <c r="L276" s="1"/>
      <c r="M276" s="1"/>
      <c r="N276" s="25"/>
      <c r="O276" s="25"/>
      <c r="P276" s="24"/>
      <c r="Q276" s="1"/>
      <c r="S276" s="24"/>
      <c r="T276" s="1"/>
      <c r="U276" s="1"/>
      <c r="V276" s="24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24"/>
      <c r="G277" s="1"/>
      <c r="H277" s="1"/>
      <c r="I277" s="1"/>
      <c r="J277" s="25"/>
      <c r="K277" s="1"/>
      <c r="L277" s="1"/>
      <c r="M277" s="1"/>
      <c r="N277" s="25"/>
      <c r="O277" s="25"/>
      <c r="P277" s="24"/>
      <c r="Q277" s="1"/>
      <c r="S277" s="24"/>
      <c r="T277" s="1"/>
      <c r="U277" s="1"/>
      <c r="V277" s="24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24"/>
      <c r="G278" s="1"/>
      <c r="H278" s="1"/>
      <c r="I278" s="1"/>
      <c r="J278" s="25"/>
      <c r="K278" s="1"/>
      <c r="L278" s="1"/>
      <c r="M278" s="1"/>
      <c r="N278" s="25"/>
      <c r="O278" s="25"/>
      <c r="P278" s="24"/>
      <c r="Q278" s="1"/>
      <c r="S278" s="24"/>
      <c r="T278" s="1"/>
      <c r="U278" s="1"/>
      <c r="V278" s="24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24"/>
      <c r="G279" s="1"/>
      <c r="H279" s="1"/>
      <c r="I279" s="1"/>
      <c r="J279" s="25"/>
      <c r="K279" s="1"/>
      <c r="L279" s="1"/>
      <c r="M279" s="1"/>
      <c r="N279" s="25"/>
      <c r="O279" s="25"/>
      <c r="P279" s="24"/>
      <c r="Q279" s="1"/>
      <c r="S279" s="24"/>
      <c r="T279" s="1"/>
      <c r="U279" s="1"/>
      <c r="V279" s="24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24"/>
      <c r="G280" s="1"/>
      <c r="H280" s="1"/>
      <c r="I280" s="1"/>
      <c r="J280" s="25"/>
      <c r="K280" s="1"/>
      <c r="L280" s="1"/>
      <c r="M280" s="1"/>
      <c r="N280" s="25"/>
      <c r="O280" s="25"/>
      <c r="P280" s="24"/>
      <c r="Q280" s="1"/>
      <c r="S280" s="24"/>
      <c r="T280" s="1"/>
      <c r="U280" s="1"/>
      <c r="V280" s="24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24"/>
      <c r="G281" s="1"/>
      <c r="H281" s="1"/>
      <c r="I281" s="1"/>
      <c r="J281" s="25"/>
      <c r="K281" s="1"/>
      <c r="L281" s="1"/>
      <c r="M281" s="1"/>
      <c r="N281" s="25"/>
      <c r="O281" s="25"/>
      <c r="P281" s="24"/>
      <c r="Q281" s="1"/>
      <c r="S281" s="24"/>
      <c r="T281" s="1"/>
      <c r="U281" s="1"/>
      <c r="V281" s="24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24"/>
      <c r="G282" s="1"/>
      <c r="H282" s="1"/>
      <c r="I282" s="1"/>
      <c r="J282" s="25"/>
      <c r="K282" s="1"/>
      <c r="L282" s="1"/>
      <c r="M282" s="1"/>
      <c r="N282" s="25"/>
      <c r="O282" s="25"/>
      <c r="P282" s="24"/>
      <c r="Q282" s="1"/>
      <c r="S282" s="24"/>
      <c r="T282" s="1"/>
      <c r="U282" s="1"/>
      <c r="V282" s="24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24"/>
      <c r="G283" s="1"/>
      <c r="H283" s="1"/>
      <c r="I283" s="1"/>
      <c r="J283" s="25"/>
      <c r="K283" s="1"/>
      <c r="L283" s="1"/>
      <c r="M283" s="1"/>
      <c r="N283" s="25"/>
      <c r="O283" s="25"/>
      <c r="P283" s="24"/>
      <c r="Q283" s="1"/>
      <c r="S283" s="24"/>
      <c r="T283" s="1"/>
      <c r="U283" s="1"/>
      <c r="V283" s="24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24"/>
      <c r="G284" s="1"/>
      <c r="H284" s="1"/>
      <c r="I284" s="1"/>
      <c r="J284" s="25"/>
      <c r="K284" s="1"/>
      <c r="L284" s="1"/>
      <c r="M284" s="1"/>
      <c r="N284" s="25"/>
      <c r="O284" s="25"/>
      <c r="P284" s="24"/>
      <c r="Q284" s="1"/>
      <c r="S284" s="24"/>
      <c r="T284" s="1"/>
      <c r="U284" s="1"/>
      <c r="V284" s="24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24"/>
      <c r="G285" s="1"/>
      <c r="H285" s="1"/>
      <c r="I285" s="1"/>
      <c r="J285" s="25"/>
      <c r="K285" s="1"/>
      <c r="L285" s="1"/>
      <c r="M285" s="1"/>
      <c r="N285" s="25"/>
      <c r="O285" s="25"/>
      <c r="P285" s="24"/>
      <c r="Q285" s="1"/>
      <c r="S285" s="24"/>
      <c r="T285" s="1"/>
      <c r="U285" s="1"/>
      <c r="V285" s="24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24"/>
      <c r="G286" s="1"/>
      <c r="H286" s="1"/>
      <c r="I286" s="1"/>
      <c r="J286" s="25"/>
      <c r="K286" s="1"/>
      <c r="L286" s="1"/>
      <c r="M286" s="1"/>
      <c r="N286" s="25"/>
      <c r="O286" s="25"/>
      <c r="P286" s="24"/>
      <c r="Q286" s="1"/>
      <c r="S286" s="24"/>
      <c r="T286" s="1"/>
      <c r="U286" s="1"/>
      <c r="V286" s="24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24"/>
      <c r="G287" s="1"/>
      <c r="H287" s="1"/>
      <c r="I287" s="1"/>
      <c r="J287" s="25"/>
      <c r="K287" s="1"/>
      <c r="L287" s="1"/>
      <c r="M287" s="1"/>
      <c r="N287" s="25"/>
      <c r="O287" s="25"/>
      <c r="P287" s="24"/>
      <c r="Q287" s="1"/>
      <c r="S287" s="24"/>
      <c r="T287" s="1"/>
      <c r="U287" s="1"/>
      <c r="V287" s="24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24"/>
      <c r="G288" s="1"/>
      <c r="H288" s="1"/>
      <c r="I288" s="1"/>
      <c r="J288" s="25"/>
      <c r="K288" s="1"/>
      <c r="L288" s="1"/>
      <c r="M288" s="1"/>
      <c r="N288" s="25"/>
      <c r="O288" s="25"/>
      <c r="P288" s="24"/>
      <c r="Q288" s="1"/>
      <c r="S288" s="24"/>
      <c r="T288" s="1"/>
      <c r="U288" s="1"/>
      <c r="V288" s="24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24"/>
      <c r="G289" s="1"/>
      <c r="H289" s="1"/>
      <c r="I289" s="1"/>
      <c r="J289" s="25"/>
      <c r="K289" s="1"/>
      <c r="L289" s="1"/>
      <c r="M289" s="1"/>
      <c r="N289" s="25"/>
      <c r="O289" s="25"/>
      <c r="P289" s="24"/>
      <c r="Q289" s="1"/>
      <c r="S289" s="24"/>
      <c r="T289" s="1"/>
      <c r="U289" s="1"/>
      <c r="V289" s="24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24"/>
      <c r="G290" s="1"/>
      <c r="H290" s="1"/>
      <c r="I290" s="1"/>
      <c r="J290" s="25"/>
      <c r="K290" s="1"/>
      <c r="L290" s="1"/>
      <c r="M290" s="1"/>
      <c r="N290" s="25"/>
      <c r="O290" s="25"/>
      <c r="P290" s="24"/>
      <c r="Q290" s="1"/>
      <c r="S290" s="24"/>
      <c r="T290" s="1"/>
      <c r="U290" s="1"/>
      <c r="V290" s="24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24"/>
      <c r="G291" s="1"/>
      <c r="H291" s="1"/>
      <c r="I291" s="1"/>
      <c r="J291" s="25"/>
      <c r="K291" s="1"/>
      <c r="L291" s="1"/>
      <c r="M291" s="1"/>
      <c r="N291" s="25"/>
      <c r="O291" s="25"/>
      <c r="P291" s="24"/>
      <c r="Q291" s="1"/>
      <c r="S291" s="24"/>
      <c r="T291" s="1"/>
      <c r="U291" s="1"/>
      <c r="V291" s="24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24"/>
      <c r="G292" s="1"/>
      <c r="H292" s="1"/>
      <c r="I292" s="1"/>
      <c r="J292" s="25"/>
      <c r="K292" s="1"/>
      <c r="L292" s="1"/>
      <c r="M292" s="1"/>
      <c r="N292" s="25"/>
      <c r="O292" s="25"/>
      <c r="P292" s="24"/>
      <c r="Q292" s="1"/>
      <c r="S292" s="24"/>
      <c r="T292" s="1"/>
      <c r="U292" s="1"/>
      <c r="V292" s="24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24"/>
      <c r="G293" s="1"/>
      <c r="H293" s="1"/>
      <c r="I293" s="1"/>
      <c r="J293" s="25"/>
      <c r="K293" s="1"/>
      <c r="L293" s="1"/>
      <c r="M293" s="1"/>
      <c r="N293" s="25"/>
      <c r="O293" s="25"/>
      <c r="P293" s="24"/>
      <c r="Q293" s="1"/>
      <c r="S293" s="24"/>
      <c r="T293" s="1"/>
      <c r="U293" s="1"/>
      <c r="V293" s="24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24"/>
      <c r="G294" s="1"/>
      <c r="H294" s="1"/>
      <c r="I294" s="1"/>
      <c r="J294" s="25"/>
      <c r="K294" s="1"/>
      <c r="L294" s="1"/>
      <c r="M294" s="1"/>
      <c r="N294" s="25"/>
      <c r="O294" s="25"/>
      <c r="P294" s="24"/>
      <c r="Q294" s="1"/>
      <c r="S294" s="24"/>
      <c r="T294" s="1"/>
      <c r="U294" s="1"/>
      <c r="V294" s="24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24"/>
      <c r="G295" s="1"/>
      <c r="H295" s="1"/>
      <c r="I295" s="1"/>
      <c r="J295" s="25"/>
      <c r="K295" s="1"/>
      <c r="L295" s="1"/>
      <c r="M295" s="1"/>
      <c r="N295" s="25"/>
      <c r="O295" s="25"/>
      <c r="P295" s="24"/>
      <c r="Q295" s="1"/>
      <c r="S295" s="24"/>
      <c r="T295" s="1"/>
      <c r="U295" s="1"/>
      <c r="V295" s="24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24"/>
      <c r="G296" s="1"/>
      <c r="H296" s="1"/>
      <c r="I296" s="1"/>
      <c r="J296" s="25"/>
      <c r="K296" s="1"/>
      <c r="L296" s="1"/>
      <c r="M296" s="1"/>
      <c r="N296" s="25"/>
      <c r="O296" s="25"/>
      <c r="P296" s="24"/>
      <c r="Q296" s="1"/>
      <c r="S296" s="24"/>
      <c r="T296" s="1"/>
      <c r="U296" s="1"/>
      <c r="V296" s="24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24"/>
      <c r="G297" s="1"/>
      <c r="H297" s="1"/>
      <c r="I297" s="1"/>
      <c r="J297" s="25"/>
      <c r="K297" s="1"/>
      <c r="L297" s="1"/>
      <c r="M297" s="1"/>
      <c r="N297" s="25"/>
      <c r="O297" s="25"/>
      <c r="P297" s="24"/>
      <c r="Q297" s="1"/>
      <c r="S297" s="24"/>
      <c r="T297" s="1"/>
      <c r="U297" s="1"/>
      <c r="V297" s="24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24"/>
      <c r="G298" s="1"/>
      <c r="H298" s="1"/>
      <c r="I298" s="1"/>
      <c r="J298" s="25"/>
      <c r="K298" s="1"/>
      <c r="L298" s="1"/>
      <c r="M298" s="1"/>
      <c r="N298" s="25"/>
      <c r="O298" s="25"/>
      <c r="P298" s="24"/>
      <c r="Q298" s="1"/>
      <c r="S298" s="24"/>
      <c r="T298" s="1"/>
      <c r="U298" s="1"/>
      <c r="V298" s="24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24"/>
      <c r="G299" s="1"/>
      <c r="H299" s="1"/>
      <c r="I299" s="1"/>
      <c r="J299" s="25"/>
      <c r="K299" s="1"/>
      <c r="L299" s="1"/>
      <c r="M299" s="1"/>
      <c r="N299" s="25"/>
      <c r="O299" s="25"/>
      <c r="P299" s="24"/>
      <c r="Q299" s="1"/>
      <c r="S299" s="24"/>
      <c r="T299" s="1"/>
      <c r="U299" s="1"/>
      <c r="V299" s="24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24"/>
      <c r="G300" s="1"/>
      <c r="H300" s="1"/>
      <c r="I300" s="1"/>
      <c r="J300" s="25"/>
      <c r="K300" s="1"/>
      <c r="L300" s="1"/>
      <c r="M300" s="1"/>
      <c r="N300" s="25"/>
      <c r="O300" s="25"/>
      <c r="P300" s="24"/>
      <c r="Q300" s="1"/>
      <c r="S300" s="24"/>
      <c r="T300" s="1"/>
      <c r="U300" s="1"/>
      <c r="V300" s="24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24"/>
      <c r="G301" s="1"/>
      <c r="H301" s="1"/>
      <c r="I301" s="1"/>
      <c r="J301" s="25"/>
      <c r="K301" s="1"/>
      <c r="L301" s="1"/>
      <c r="M301" s="1"/>
      <c r="N301" s="25"/>
      <c r="O301" s="25"/>
      <c r="P301" s="24"/>
      <c r="Q301" s="1"/>
      <c r="S301" s="24"/>
      <c r="T301" s="1"/>
      <c r="U301" s="1"/>
      <c r="V301" s="24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24"/>
      <c r="G302" s="1"/>
      <c r="H302" s="1"/>
      <c r="I302" s="1"/>
      <c r="J302" s="25"/>
      <c r="K302" s="1"/>
      <c r="L302" s="1"/>
      <c r="M302" s="1"/>
      <c r="N302" s="25"/>
      <c r="O302" s="25"/>
      <c r="P302" s="24"/>
      <c r="Q302" s="1"/>
      <c r="S302" s="24"/>
      <c r="T302" s="1"/>
      <c r="U302" s="1"/>
      <c r="V302" s="24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24"/>
      <c r="G303" s="1"/>
      <c r="H303" s="1"/>
      <c r="I303" s="1"/>
      <c r="J303" s="25"/>
      <c r="K303" s="1"/>
      <c r="L303" s="1"/>
      <c r="M303" s="1"/>
      <c r="N303" s="25"/>
      <c r="O303" s="25"/>
      <c r="P303" s="24"/>
      <c r="Q303" s="1"/>
      <c r="S303" s="24"/>
      <c r="T303" s="1"/>
      <c r="U303" s="1"/>
      <c r="V303" s="24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24"/>
      <c r="G304" s="1"/>
      <c r="H304" s="1"/>
      <c r="I304" s="1"/>
      <c r="J304" s="25"/>
      <c r="K304" s="1"/>
      <c r="L304" s="1"/>
      <c r="M304" s="1"/>
      <c r="N304" s="25"/>
      <c r="O304" s="25"/>
      <c r="P304" s="24"/>
      <c r="Q304" s="1"/>
      <c r="S304" s="24"/>
      <c r="T304" s="1"/>
      <c r="U304" s="1"/>
      <c r="V304" s="24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24"/>
      <c r="G305" s="1"/>
      <c r="H305" s="1"/>
      <c r="I305" s="1"/>
      <c r="J305" s="25"/>
      <c r="K305" s="1"/>
      <c r="L305" s="1"/>
      <c r="M305" s="1"/>
      <c r="N305" s="25"/>
      <c r="O305" s="25"/>
      <c r="P305" s="24"/>
      <c r="Q305" s="1"/>
      <c r="S305" s="24"/>
      <c r="T305" s="1"/>
      <c r="U305" s="1"/>
      <c r="V305" s="24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24"/>
      <c r="G306" s="1"/>
      <c r="H306" s="1"/>
      <c r="I306" s="1"/>
      <c r="J306" s="25"/>
      <c r="K306" s="1"/>
      <c r="L306" s="1"/>
      <c r="M306" s="1"/>
      <c r="N306" s="25"/>
      <c r="O306" s="25"/>
      <c r="P306" s="24"/>
      <c r="Q306" s="1"/>
      <c r="S306" s="24"/>
      <c r="T306" s="1"/>
      <c r="U306" s="1"/>
      <c r="V306" s="24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24"/>
      <c r="G307" s="1"/>
      <c r="H307" s="1"/>
      <c r="I307" s="1"/>
      <c r="J307" s="25"/>
      <c r="K307" s="1"/>
      <c r="L307" s="1"/>
      <c r="M307" s="1"/>
      <c r="N307" s="25"/>
      <c r="O307" s="25"/>
      <c r="P307" s="24"/>
      <c r="Q307" s="1"/>
      <c r="S307" s="24"/>
      <c r="T307" s="1"/>
      <c r="U307" s="1"/>
      <c r="V307" s="24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24"/>
      <c r="G308" s="1"/>
      <c r="H308" s="1"/>
      <c r="I308" s="1"/>
      <c r="J308" s="25"/>
      <c r="K308" s="1"/>
      <c r="L308" s="1"/>
      <c r="M308" s="1"/>
      <c r="N308" s="25"/>
      <c r="O308" s="25"/>
      <c r="P308" s="24"/>
      <c r="Q308" s="1"/>
      <c r="S308" s="24"/>
      <c r="T308" s="1"/>
      <c r="U308" s="1"/>
      <c r="V308" s="24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24"/>
      <c r="G309" s="1"/>
      <c r="H309" s="1"/>
      <c r="I309" s="1"/>
      <c r="J309" s="25"/>
      <c r="K309" s="1"/>
      <c r="L309" s="1"/>
      <c r="M309" s="1"/>
      <c r="N309" s="25"/>
      <c r="O309" s="25"/>
      <c r="P309" s="24"/>
      <c r="Q309" s="1"/>
      <c r="S309" s="24"/>
      <c r="T309" s="1"/>
      <c r="U309" s="1"/>
      <c r="V309" s="24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24"/>
      <c r="G310" s="1"/>
      <c r="H310" s="1"/>
      <c r="I310" s="1"/>
      <c r="J310" s="25"/>
      <c r="K310" s="1"/>
      <c r="L310" s="1"/>
      <c r="M310" s="1"/>
      <c r="N310" s="25"/>
      <c r="O310" s="25"/>
      <c r="P310" s="24"/>
      <c r="Q310" s="1"/>
      <c r="S310" s="24"/>
      <c r="T310" s="1"/>
      <c r="U310" s="1"/>
      <c r="V310" s="24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24"/>
      <c r="G311" s="1"/>
      <c r="H311" s="1"/>
      <c r="I311" s="1"/>
      <c r="J311" s="25"/>
      <c r="K311" s="1"/>
      <c r="L311" s="1"/>
      <c r="M311" s="1"/>
      <c r="N311" s="25"/>
      <c r="O311" s="25"/>
      <c r="P311" s="24"/>
      <c r="Q311" s="1"/>
      <c r="S311" s="24"/>
      <c r="T311" s="1"/>
      <c r="U311" s="1"/>
      <c r="V311" s="24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24"/>
      <c r="G312" s="1"/>
      <c r="H312" s="1"/>
      <c r="I312" s="1"/>
      <c r="J312" s="25"/>
      <c r="K312" s="1"/>
      <c r="L312" s="1"/>
      <c r="M312" s="1"/>
      <c r="N312" s="25"/>
      <c r="O312" s="25"/>
      <c r="P312" s="24"/>
      <c r="Q312" s="1"/>
      <c r="S312" s="24"/>
      <c r="T312" s="1"/>
      <c r="U312" s="1"/>
      <c r="V312" s="24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24"/>
      <c r="G313" s="1"/>
      <c r="H313" s="1"/>
      <c r="I313" s="1"/>
      <c r="J313" s="25"/>
      <c r="K313" s="1"/>
      <c r="L313" s="1"/>
      <c r="M313" s="1"/>
      <c r="N313" s="25"/>
      <c r="O313" s="25"/>
      <c r="P313" s="24"/>
      <c r="Q313" s="1"/>
      <c r="S313" s="24"/>
      <c r="T313" s="1"/>
      <c r="U313" s="1"/>
      <c r="V313" s="24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24"/>
      <c r="G314" s="1"/>
      <c r="H314" s="1"/>
      <c r="I314" s="1"/>
      <c r="J314" s="25"/>
      <c r="K314" s="1"/>
      <c r="L314" s="1"/>
      <c r="M314" s="1"/>
      <c r="N314" s="25"/>
      <c r="O314" s="25"/>
      <c r="P314" s="24"/>
      <c r="Q314" s="1"/>
      <c r="S314" s="24"/>
      <c r="T314" s="1"/>
      <c r="U314" s="1"/>
      <c r="V314" s="24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24"/>
      <c r="G315" s="1"/>
      <c r="H315" s="1"/>
      <c r="I315" s="1"/>
      <c r="J315" s="25"/>
      <c r="K315" s="1"/>
      <c r="L315" s="1"/>
      <c r="M315" s="1"/>
      <c r="N315" s="25"/>
      <c r="O315" s="25"/>
      <c r="P315" s="24"/>
      <c r="Q315" s="1"/>
      <c r="S315" s="24"/>
      <c r="T315" s="1"/>
      <c r="U315" s="1"/>
      <c r="V315" s="24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24"/>
      <c r="G316" s="1"/>
      <c r="H316" s="1"/>
      <c r="I316" s="1"/>
      <c r="J316" s="25"/>
      <c r="K316" s="1"/>
      <c r="L316" s="1"/>
      <c r="M316" s="1"/>
      <c r="N316" s="25"/>
      <c r="O316" s="25"/>
      <c r="P316" s="24"/>
      <c r="Q316" s="1"/>
      <c r="S316" s="24"/>
      <c r="T316" s="1"/>
      <c r="U316" s="1"/>
      <c r="V316" s="24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24"/>
      <c r="G317" s="1"/>
      <c r="H317" s="1"/>
      <c r="I317" s="1"/>
      <c r="J317" s="25"/>
      <c r="K317" s="1"/>
      <c r="L317" s="1"/>
      <c r="M317" s="1"/>
      <c r="N317" s="25"/>
      <c r="O317" s="25"/>
      <c r="P317" s="24"/>
      <c r="Q317" s="1"/>
      <c r="S317" s="24"/>
      <c r="T317" s="1"/>
      <c r="U317" s="1"/>
      <c r="V317" s="24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24"/>
      <c r="G318" s="1"/>
      <c r="H318" s="1"/>
      <c r="I318" s="1"/>
      <c r="J318" s="25"/>
      <c r="K318" s="1"/>
      <c r="L318" s="1"/>
      <c r="M318" s="1"/>
      <c r="N318" s="25"/>
      <c r="O318" s="25"/>
      <c r="P318" s="24"/>
      <c r="Q318" s="1"/>
      <c r="S318" s="24"/>
      <c r="T318" s="1"/>
      <c r="U318" s="1"/>
      <c r="V318" s="24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24"/>
      <c r="G319" s="1"/>
      <c r="H319" s="1"/>
      <c r="I319" s="1"/>
      <c r="J319" s="25"/>
      <c r="K319" s="1"/>
      <c r="L319" s="1"/>
      <c r="M319" s="1"/>
      <c r="N319" s="25"/>
      <c r="O319" s="25"/>
      <c r="P319" s="24"/>
      <c r="Q319" s="1"/>
      <c r="S319" s="24"/>
      <c r="T319" s="1"/>
      <c r="U319" s="1"/>
      <c r="V319" s="24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24"/>
      <c r="G320" s="1"/>
      <c r="H320" s="1"/>
      <c r="I320" s="1"/>
      <c r="J320" s="25"/>
      <c r="K320" s="1"/>
      <c r="L320" s="1"/>
      <c r="M320" s="1"/>
      <c r="N320" s="25"/>
      <c r="O320" s="25"/>
      <c r="P320" s="24"/>
      <c r="Q320" s="1"/>
      <c r="S320" s="24"/>
      <c r="T320" s="1"/>
      <c r="U320" s="1"/>
      <c r="V320" s="24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24"/>
      <c r="G321" s="1"/>
      <c r="H321" s="1"/>
      <c r="I321" s="1"/>
      <c r="J321" s="25"/>
      <c r="K321" s="1"/>
      <c r="L321" s="1"/>
      <c r="M321" s="1"/>
      <c r="N321" s="25"/>
      <c r="O321" s="25"/>
      <c r="P321" s="24"/>
      <c r="Q321" s="1"/>
      <c r="S321" s="24"/>
      <c r="T321" s="1"/>
      <c r="U321" s="1"/>
      <c r="V321" s="24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24"/>
      <c r="G322" s="1"/>
      <c r="H322" s="1"/>
      <c r="I322" s="1"/>
      <c r="J322" s="25"/>
      <c r="K322" s="1"/>
      <c r="L322" s="1"/>
      <c r="M322" s="1"/>
      <c r="N322" s="25"/>
      <c r="O322" s="25"/>
      <c r="P322" s="24"/>
      <c r="Q322" s="1"/>
      <c r="S322" s="24"/>
      <c r="T322" s="1"/>
      <c r="U322" s="1"/>
      <c r="V322" s="24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24"/>
      <c r="G323" s="1"/>
      <c r="H323" s="1"/>
      <c r="I323" s="1"/>
      <c r="J323" s="25"/>
      <c r="K323" s="1"/>
      <c r="L323" s="1"/>
      <c r="M323" s="1"/>
      <c r="N323" s="25"/>
      <c r="O323" s="25"/>
      <c r="P323" s="24"/>
      <c r="Q323" s="1"/>
      <c r="S323" s="24"/>
      <c r="T323" s="1"/>
      <c r="U323" s="1"/>
      <c r="V323" s="24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24"/>
      <c r="G324" s="1"/>
      <c r="H324" s="1"/>
      <c r="I324" s="1"/>
      <c r="J324" s="25"/>
      <c r="K324" s="1"/>
      <c r="L324" s="1"/>
      <c r="M324" s="1"/>
      <c r="N324" s="25"/>
      <c r="O324" s="25"/>
      <c r="P324" s="24"/>
      <c r="Q324" s="1"/>
      <c r="S324" s="24"/>
      <c r="T324" s="1"/>
      <c r="U324" s="1"/>
      <c r="V324" s="24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24"/>
      <c r="G325" s="1"/>
      <c r="H325" s="1"/>
      <c r="I325" s="1"/>
      <c r="J325" s="25"/>
      <c r="K325" s="1"/>
      <c r="L325" s="1"/>
      <c r="M325" s="1"/>
      <c r="N325" s="25"/>
      <c r="O325" s="25"/>
      <c r="P325" s="24"/>
      <c r="Q325" s="1"/>
      <c r="S325" s="24"/>
      <c r="T325" s="1"/>
      <c r="U325" s="1"/>
      <c r="V325" s="24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24"/>
      <c r="G326" s="1"/>
      <c r="H326" s="1"/>
      <c r="I326" s="1"/>
      <c r="J326" s="25"/>
      <c r="K326" s="1"/>
      <c r="L326" s="1"/>
      <c r="M326" s="1"/>
      <c r="N326" s="25"/>
      <c r="O326" s="25"/>
      <c r="P326" s="24"/>
      <c r="Q326" s="1"/>
      <c r="S326" s="24"/>
      <c r="T326" s="1"/>
      <c r="U326" s="1"/>
      <c r="V326" s="24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24"/>
      <c r="G327" s="1"/>
      <c r="H327" s="1"/>
      <c r="I327" s="1"/>
      <c r="J327" s="25"/>
      <c r="K327" s="1"/>
      <c r="L327" s="1"/>
      <c r="M327" s="1"/>
      <c r="N327" s="25"/>
      <c r="O327" s="25"/>
      <c r="P327" s="24"/>
      <c r="Q327" s="1"/>
      <c r="S327" s="24"/>
      <c r="T327" s="1"/>
      <c r="U327" s="1"/>
      <c r="V327" s="24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24"/>
      <c r="G328" s="1"/>
      <c r="H328" s="1"/>
      <c r="I328" s="1"/>
      <c r="J328" s="25"/>
      <c r="K328" s="1"/>
      <c r="L328" s="1"/>
      <c r="M328" s="1"/>
      <c r="N328" s="25"/>
      <c r="O328" s="25"/>
      <c r="P328" s="24"/>
      <c r="Q328" s="1"/>
      <c r="S328" s="24"/>
      <c r="T328" s="1"/>
      <c r="U328" s="1"/>
      <c r="V328" s="24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24"/>
      <c r="G329" s="1"/>
      <c r="H329" s="1"/>
      <c r="I329" s="1"/>
      <c r="J329" s="25"/>
      <c r="K329" s="1"/>
      <c r="L329" s="1"/>
      <c r="M329" s="1"/>
      <c r="N329" s="25"/>
      <c r="O329" s="25"/>
      <c r="P329" s="24"/>
      <c r="Q329" s="1"/>
      <c r="S329" s="24"/>
      <c r="T329" s="1"/>
      <c r="U329" s="1"/>
      <c r="V329" s="24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24"/>
      <c r="G330" s="1"/>
      <c r="H330" s="1"/>
      <c r="I330" s="1"/>
      <c r="J330" s="25"/>
      <c r="K330" s="1"/>
      <c r="L330" s="1"/>
      <c r="M330" s="1"/>
      <c r="N330" s="25"/>
      <c r="O330" s="25"/>
      <c r="P330" s="24"/>
      <c r="Q330" s="1"/>
      <c r="S330" s="24"/>
      <c r="T330" s="1"/>
      <c r="U330" s="1"/>
      <c r="V330" s="24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24"/>
      <c r="G331" s="1"/>
      <c r="H331" s="1"/>
      <c r="I331" s="1"/>
      <c r="J331" s="25"/>
      <c r="K331" s="1"/>
      <c r="L331" s="1"/>
      <c r="M331" s="1"/>
      <c r="N331" s="25"/>
      <c r="O331" s="25"/>
      <c r="P331" s="24"/>
      <c r="Q331" s="1"/>
      <c r="S331" s="24"/>
      <c r="T331" s="1"/>
      <c r="U331" s="1"/>
      <c r="V331" s="24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24"/>
      <c r="G332" s="1"/>
      <c r="H332" s="1"/>
      <c r="I332" s="1"/>
      <c r="J332" s="25"/>
      <c r="K332" s="1"/>
      <c r="L332" s="1"/>
      <c r="M332" s="1"/>
      <c r="N332" s="25"/>
      <c r="O332" s="25"/>
      <c r="P332" s="24"/>
      <c r="Q332" s="1"/>
      <c r="S332" s="24"/>
      <c r="T332" s="1"/>
      <c r="U332" s="1"/>
      <c r="V332" s="24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24"/>
      <c r="G333" s="1"/>
      <c r="H333" s="1"/>
      <c r="I333" s="1"/>
      <c r="J333" s="25"/>
      <c r="K333" s="1"/>
      <c r="L333" s="1"/>
      <c r="M333" s="1"/>
      <c r="N333" s="25"/>
      <c r="O333" s="25"/>
      <c r="P333" s="24"/>
      <c r="Q333" s="1"/>
      <c r="S333" s="24"/>
      <c r="T333" s="1"/>
      <c r="U333" s="1"/>
      <c r="V333" s="24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24"/>
      <c r="G334" s="1"/>
      <c r="H334" s="1"/>
      <c r="I334" s="1"/>
      <c r="J334" s="25"/>
      <c r="K334" s="1"/>
      <c r="L334" s="1"/>
      <c r="M334" s="1"/>
      <c r="N334" s="25"/>
      <c r="O334" s="25"/>
      <c r="P334" s="24"/>
      <c r="Q334" s="1"/>
      <c r="S334" s="24"/>
      <c r="T334" s="1"/>
      <c r="U334" s="1"/>
      <c r="V334" s="24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24"/>
      <c r="G335" s="1"/>
      <c r="H335" s="1"/>
      <c r="I335" s="1"/>
      <c r="J335" s="25"/>
      <c r="K335" s="1"/>
      <c r="L335" s="1"/>
      <c r="M335" s="1"/>
      <c r="N335" s="25"/>
      <c r="O335" s="25"/>
      <c r="P335" s="24"/>
      <c r="Q335" s="1"/>
      <c r="S335" s="24"/>
      <c r="T335" s="1"/>
      <c r="U335" s="1"/>
      <c r="V335" s="24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24"/>
      <c r="G336" s="1"/>
      <c r="H336" s="1"/>
      <c r="I336" s="1"/>
      <c r="J336" s="25"/>
      <c r="K336" s="1"/>
      <c r="L336" s="1"/>
      <c r="M336" s="1"/>
      <c r="N336" s="25"/>
      <c r="O336" s="25"/>
      <c r="P336" s="24"/>
      <c r="Q336" s="1"/>
      <c r="S336" s="24"/>
      <c r="T336" s="1"/>
      <c r="U336" s="1"/>
      <c r="V336" s="24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24"/>
      <c r="G337" s="1"/>
      <c r="H337" s="1"/>
      <c r="I337" s="1"/>
      <c r="J337" s="25"/>
      <c r="K337" s="1"/>
      <c r="L337" s="1"/>
      <c r="M337" s="1"/>
      <c r="N337" s="25"/>
      <c r="O337" s="25"/>
      <c r="P337" s="24"/>
      <c r="Q337" s="1"/>
      <c r="S337" s="24"/>
      <c r="T337" s="1"/>
      <c r="U337" s="1"/>
      <c r="V337" s="24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24"/>
      <c r="G338" s="1"/>
      <c r="H338" s="1"/>
      <c r="I338" s="1"/>
      <c r="J338" s="25"/>
      <c r="K338" s="1"/>
      <c r="L338" s="1"/>
      <c r="M338" s="1"/>
      <c r="N338" s="25"/>
      <c r="O338" s="25"/>
      <c r="P338" s="24"/>
      <c r="Q338" s="1"/>
      <c r="S338" s="24"/>
      <c r="T338" s="1"/>
      <c r="U338" s="1"/>
      <c r="V338" s="24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24"/>
      <c r="G339" s="1"/>
      <c r="H339" s="1"/>
      <c r="I339" s="1"/>
      <c r="J339" s="25"/>
      <c r="K339" s="1"/>
      <c r="L339" s="1"/>
      <c r="M339" s="1"/>
      <c r="N339" s="25"/>
      <c r="O339" s="25"/>
      <c r="P339" s="24"/>
      <c r="Q339" s="1"/>
      <c r="S339" s="24"/>
      <c r="T339" s="1"/>
      <c r="U339" s="1"/>
      <c r="V339" s="24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24"/>
      <c r="G340" s="1"/>
      <c r="H340" s="1"/>
      <c r="I340" s="1"/>
      <c r="J340" s="25"/>
      <c r="K340" s="1"/>
      <c r="L340" s="1"/>
      <c r="M340" s="1"/>
      <c r="N340" s="25"/>
      <c r="O340" s="25"/>
      <c r="P340" s="24"/>
      <c r="Q340" s="1"/>
      <c r="S340" s="24"/>
      <c r="T340" s="1"/>
      <c r="U340" s="1"/>
      <c r="V340" s="24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24"/>
      <c r="G341" s="1"/>
      <c r="H341" s="1"/>
      <c r="I341" s="1"/>
      <c r="J341" s="25"/>
      <c r="K341" s="1"/>
      <c r="L341" s="1"/>
      <c r="M341" s="1"/>
      <c r="N341" s="25"/>
      <c r="O341" s="25"/>
      <c r="P341" s="24"/>
      <c r="Q341" s="1"/>
      <c r="S341" s="24"/>
      <c r="T341" s="1"/>
      <c r="U341" s="1"/>
      <c r="V341" s="24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24"/>
      <c r="G342" s="1"/>
      <c r="H342" s="1"/>
      <c r="I342" s="1"/>
      <c r="J342" s="25"/>
      <c r="K342" s="1"/>
      <c r="L342" s="1"/>
      <c r="M342" s="1"/>
      <c r="N342" s="25"/>
      <c r="O342" s="25"/>
      <c r="P342" s="24"/>
      <c r="Q342" s="1"/>
      <c r="S342" s="24"/>
      <c r="T342" s="1"/>
      <c r="U342" s="1"/>
      <c r="V342" s="24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24"/>
      <c r="G343" s="1"/>
      <c r="H343" s="1"/>
      <c r="I343" s="1"/>
      <c r="J343" s="25"/>
      <c r="K343" s="1"/>
      <c r="L343" s="1"/>
      <c r="M343" s="1"/>
      <c r="N343" s="25"/>
      <c r="O343" s="25"/>
      <c r="P343" s="24"/>
      <c r="Q343" s="1"/>
      <c r="S343" s="24"/>
      <c r="T343" s="1"/>
      <c r="U343" s="1"/>
      <c r="V343" s="24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24"/>
      <c r="G344" s="1"/>
      <c r="H344" s="1"/>
      <c r="I344" s="1"/>
      <c r="J344" s="25"/>
      <c r="K344" s="1"/>
      <c r="L344" s="1"/>
      <c r="M344" s="1"/>
      <c r="N344" s="25"/>
      <c r="O344" s="25"/>
      <c r="P344" s="24"/>
      <c r="Q344" s="1"/>
      <c r="S344" s="24"/>
      <c r="T344" s="1"/>
      <c r="U344" s="1"/>
      <c r="V344" s="24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24"/>
      <c r="G345" s="1"/>
      <c r="H345" s="1"/>
      <c r="I345" s="1"/>
      <c r="J345" s="25"/>
      <c r="K345" s="1"/>
      <c r="L345" s="1"/>
      <c r="M345" s="1"/>
      <c r="N345" s="25"/>
      <c r="O345" s="25"/>
      <c r="P345" s="24"/>
      <c r="Q345" s="1"/>
      <c r="S345" s="24"/>
      <c r="T345" s="1"/>
      <c r="U345" s="1"/>
      <c r="V345" s="24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24"/>
      <c r="G346" s="1"/>
      <c r="H346" s="1"/>
      <c r="I346" s="1"/>
      <c r="J346" s="25"/>
      <c r="K346" s="1"/>
      <c r="L346" s="1"/>
      <c r="M346" s="1"/>
      <c r="N346" s="25"/>
      <c r="O346" s="25"/>
      <c r="P346" s="24"/>
      <c r="Q346" s="1"/>
      <c r="S346" s="24"/>
      <c r="T346" s="1"/>
      <c r="U346" s="1"/>
      <c r="V346" s="24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24"/>
      <c r="G347" s="1"/>
      <c r="H347" s="1"/>
      <c r="I347" s="1"/>
      <c r="J347" s="25"/>
      <c r="K347" s="1"/>
      <c r="L347" s="1"/>
      <c r="M347" s="1"/>
      <c r="N347" s="25"/>
      <c r="O347" s="25"/>
      <c r="P347" s="24"/>
      <c r="Q347" s="1"/>
      <c r="S347" s="24"/>
      <c r="T347" s="1"/>
      <c r="U347" s="1"/>
      <c r="V347" s="24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24"/>
      <c r="G348" s="1"/>
      <c r="H348" s="1"/>
      <c r="I348" s="1"/>
      <c r="J348" s="25"/>
      <c r="K348" s="1"/>
      <c r="L348" s="1"/>
      <c r="M348" s="1"/>
      <c r="N348" s="25"/>
      <c r="O348" s="25"/>
      <c r="P348" s="24"/>
      <c r="Q348" s="1"/>
      <c r="S348" s="24"/>
      <c r="T348" s="1"/>
      <c r="U348" s="1"/>
      <c r="V348" s="24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24"/>
      <c r="G349" s="1"/>
      <c r="H349" s="1"/>
      <c r="I349" s="1"/>
      <c r="J349" s="25"/>
      <c r="K349" s="1"/>
      <c r="L349" s="1"/>
      <c r="M349" s="1"/>
      <c r="N349" s="25"/>
      <c r="O349" s="25"/>
      <c r="P349" s="24"/>
      <c r="Q349" s="1"/>
      <c r="S349" s="24"/>
      <c r="T349" s="1"/>
      <c r="U349" s="1"/>
      <c r="V349" s="24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24"/>
      <c r="G350" s="1"/>
      <c r="H350" s="1"/>
      <c r="I350" s="1"/>
      <c r="J350" s="25"/>
      <c r="K350" s="1"/>
      <c r="L350" s="1"/>
      <c r="M350" s="1"/>
      <c r="N350" s="25"/>
      <c r="O350" s="25"/>
      <c r="P350" s="24"/>
      <c r="Q350" s="1"/>
      <c r="S350" s="24"/>
      <c r="T350" s="1"/>
      <c r="U350" s="1"/>
      <c r="V350" s="24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24"/>
      <c r="G351" s="1"/>
      <c r="H351" s="1"/>
      <c r="I351" s="1"/>
      <c r="J351" s="25"/>
      <c r="K351" s="1"/>
      <c r="L351" s="1"/>
      <c r="M351" s="1"/>
      <c r="N351" s="25"/>
      <c r="O351" s="25"/>
      <c r="P351" s="24"/>
      <c r="Q351" s="1"/>
      <c r="S351" s="24"/>
      <c r="T351" s="1"/>
      <c r="U351" s="1"/>
      <c r="V351" s="24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24"/>
      <c r="G352" s="1"/>
      <c r="H352" s="1"/>
      <c r="I352" s="1"/>
      <c r="J352" s="25"/>
      <c r="K352" s="1"/>
      <c r="L352" s="1"/>
      <c r="M352" s="1"/>
      <c r="N352" s="25"/>
      <c r="O352" s="25"/>
      <c r="P352" s="24"/>
      <c r="Q352" s="1"/>
      <c r="S352" s="24"/>
      <c r="T352" s="1"/>
      <c r="U352" s="1"/>
      <c r="V352" s="24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24"/>
      <c r="G353" s="1"/>
      <c r="H353" s="1"/>
      <c r="I353" s="1"/>
      <c r="J353" s="25"/>
      <c r="K353" s="1"/>
      <c r="L353" s="1"/>
      <c r="M353" s="1"/>
      <c r="N353" s="25"/>
      <c r="O353" s="25"/>
      <c r="P353" s="24"/>
      <c r="Q353" s="1"/>
      <c r="S353" s="24"/>
      <c r="T353" s="1"/>
      <c r="U353" s="1"/>
      <c r="V353" s="24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24"/>
      <c r="G354" s="1"/>
      <c r="H354" s="1"/>
      <c r="I354" s="1"/>
      <c r="J354" s="25"/>
      <c r="K354" s="1"/>
      <c r="L354" s="1"/>
      <c r="M354" s="1"/>
      <c r="N354" s="25"/>
      <c r="O354" s="25"/>
      <c r="P354" s="24"/>
      <c r="Q354" s="1"/>
      <c r="S354" s="24"/>
      <c r="T354" s="1"/>
      <c r="U354" s="1"/>
      <c r="V354" s="24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24"/>
      <c r="G355" s="1"/>
      <c r="H355" s="1"/>
      <c r="I355" s="1"/>
      <c r="J355" s="25"/>
      <c r="K355" s="1"/>
      <c r="L355" s="1"/>
      <c r="M355" s="1"/>
      <c r="N355" s="25"/>
      <c r="O355" s="25"/>
      <c r="P355" s="24"/>
      <c r="Q355" s="1"/>
      <c r="S355" s="24"/>
      <c r="T355" s="1"/>
      <c r="U355" s="1"/>
      <c r="V355" s="24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24"/>
      <c r="G356" s="1"/>
      <c r="H356" s="1"/>
      <c r="I356" s="1"/>
      <c r="J356" s="25"/>
      <c r="K356" s="1"/>
      <c r="L356" s="1"/>
      <c r="M356" s="1"/>
      <c r="N356" s="25"/>
      <c r="O356" s="25"/>
      <c r="P356" s="24"/>
      <c r="Q356" s="1"/>
      <c r="S356" s="24"/>
      <c r="T356" s="1"/>
      <c r="U356" s="1"/>
      <c r="V356" s="24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24"/>
      <c r="G357" s="1"/>
      <c r="H357" s="1"/>
      <c r="I357" s="1"/>
      <c r="J357" s="25"/>
      <c r="K357" s="1"/>
      <c r="L357" s="1"/>
      <c r="M357" s="1"/>
      <c r="N357" s="25"/>
      <c r="O357" s="25"/>
      <c r="P357" s="24"/>
      <c r="Q357" s="1"/>
      <c r="S357" s="24"/>
      <c r="T357" s="1"/>
      <c r="U357" s="1"/>
      <c r="V357" s="24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24"/>
      <c r="G358" s="1"/>
      <c r="H358" s="1"/>
      <c r="I358" s="1"/>
      <c r="J358" s="25"/>
      <c r="K358" s="1"/>
      <c r="L358" s="1"/>
      <c r="M358" s="1"/>
      <c r="N358" s="25"/>
      <c r="O358" s="25"/>
      <c r="P358" s="24"/>
      <c r="Q358" s="1"/>
      <c r="S358" s="24"/>
      <c r="T358" s="1"/>
      <c r="U358" s="1"/>
      <c r="V358" s="24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24"/>
      <c r="G359" s="1"/>
      <c r="H359" s="1"/>
      <c r="I359" s="1"/>
      <c r="J359" s="25"/>
      <c r="K359" s="1"/>
      <c r="L359" s="1"/>
      <c r="M359" s="1"/>
      <c r="N359" s="25"/>
      <c r="O359" s="25"/>
      <c r="P359" s="24"/>
      <c r="Q359" s="1"/>
      <c r="S359" s="24"/>
      <c r="T359" s="1"/>
      <c r="U359" s="1"/>
      <c r="V359" s="24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24"/>
      <c r="G360" s="1"/>
      <c r="H360" s="1"/>
      <c r="I360" s="1"/>
      <c r="J360" s="25"/>
      <c r="K360" s="1"/>
      <c r="L360" s="1"/>
      <c r="M360" s="1"/>
      <c r="N360" s="25"/>
      <c r="O360" s="25"/>
      <c r="P360" s="24"/>
      <c r="Q360" s="1"/>
      <c r="S360" s="24"/>
      <c r="T360" s="1"/>
      <c r="U360" s="1"/>
      <c r="V360" s="24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24"/>
      <c r="G361" s="1"/>
      <c r="H361" s="1"/>
      <c r="I361" s="1"/>
      <c r="J361" s="25"/>
      <c r="K361" s="1"/>
      <c r="L361" s="1"/>
      <c r="M361" s="1"/>
      <c r="N361" s="25"/>
      <c r="O361" s="25"/>
      <c r="P361" s="24"/>
      <c r="Q361" s="1"/>
      <c r="S361" s="24"/>
      <c r="T361" s="1"/>
      <c r="U361" s="1"/>
      <c r="V361" s="24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24"/>
      <c r="G362" s="1"/>
      <c r="H362" s="1"/>
      <c r="I362" s="1"/>
      <c r="J362" s="25"/>
      <c r="K362" s="1"/>
      <c r="L362" s="1"/>
      <c r="M362" s="1"/>
      <c r="N362" s="25"/>
      <c r="O362" s="25"/>
      <c r="P362" s="24"/>
      <c r="Q362" s="1"/>
      <c r="S362" s="24"/>
      <c r="T362" s="1"/>
      <c r="U362" s="1"/>
      <c r="V362" s="24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24"/>
      <c r="G363" s="1"/>
      <c r="H363" s="1"/>
      <c r="I363" s="1"/>
      <c r="J363" s="25"/>
      <c r="K363" s="1"/>
      <c r="L363" s="1"/>
      <c r="M363" s="1"/>
      <c r="N363" s="25"/>
      <c r="O363" s="25"/>
      <c r="P363" s="24"/>
      <c r="Q363" s="1"/>
      <c r="S363" s="24"/>
      <c r="T363" s="1"/>
      <c r="U363" s="1"/>
      <c r="V363" s="24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24"/>
      <c r="G364" s="1"/>
      <c r="H364" s="1"/>
      <c r="I364" s="1"/>
      <c r="J364" s="25"/>
      <c r="K364" s="1"/>
      <c r="L364" s="1"/>
      <c r="M364" s="1"/>
      <c r="N364" s="25"/>
      <c r="O364" s="25"/>
      <c r="P364" s="24"/>
      <c r="Q364" s="1"/>
      <c r="S364" s="24"/>
      <c r="T364" s="1"/>
      <c r="U364" s="1"/>
      <c r="V364" s="24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24"/>
      <c r="G365" s="1"/>
      <c r="H365" s="1"/>
      <c r="I365" s="1"/>
      <c r="J365" s="25"/>
      <c r="K365" s="1"/>
      <c r="L365" s="1"/>
      <c r="M365" s="1"/>
      <c r="N365" s="25"/>
      <c r="O365" s="25"/>
      <c r="P365" s="24"/>
      <c r="Q365" s="1"/>
      <c r="S365" s="24"/>
      <c r="T365" s="1"/>
      <c r="U365" s="1"/>
      <c r="V365" s="24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24"/>
      <c r="G366" s="1"/>
      <c r="H366" s="1"/>
      <c r="I366" s="1"/>
      <c r="J366" s="25"/>
      <c r="K366" s="1"/>
      <c r="L366" s="1"/>
      <c r="M366" s="1"/>
      <c r="N366" s="25"/>
      <c r="O366" s="25"/>
      <c r="P366" s="24"/>
      <c r="Q366" s="1"/>
      <c r="S366" s="24"/>
      <c r="T366" s="1"/>
      <c r="U366" s="1"/>
      <c r="V366" s="24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24"/>
      <c r="G367" s="1"/>
      <c r="H367" s="1"/>
      <c r="I367" s="1"/>
      <c r="J367" s="25"/>
      <c r="K367" s="1"/>
      <c r="L367" s="1"/>
      <c r="M367" s="1"/>
      <c r="N367" s="25"/>
      <c r="O367" s="25"/>
      <c r="P367" s="24"/>
      <c r="Q367" s="1"/>
      <c r="S367" s="24"/>
      <c r="T367" s="1"/>
      <c r="U367" s="1"/>
      <c r="V367" s="24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24"/>
      <c r="G368" s="1"/>
      <c r="H368" s="1"/>
      <c r="I368" s="1"/>
      <c r="J368" s="25"/>
      <c r="K368" s="1"/>
      <c r="L368" s="1"/>
      <c r="M368" s="1"/>
      <c r="N368" s="25"/>
      <c r="O368" s="25"/>
      <c r="P368" s="24"/>
      <c r="Q368" s="1"/>
      <c r="S368" s="24"/>
      <c r="T368" s="1"/>
      <c r="U368" s="1"/>
      <c r="V368" s="24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24"/>
      <c r="G369" s="1"/>
      <c r="H369" s="1"/>
      <c r="I369" s="1"/>
      <c r="J369" s="25"/>
      <c r="K369" s="1"/>
      <c r="L369" s="1"/>
      <c r="M369" s="1"/>
      <c r="N369" s="25"/>
      <c r="O369" s="25"/>
      <c r="P369" s="24"/>
      <c r="Q369" s="1"/>
      <c r="S369" s="24"/>
      <c r="T369" s="1"/>
      <c r="U369" s="1"/>
      <c r="V369" s="24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24"/>
      <c r="G370" s="1"/>
      <c r="H370" s="1"/>
      <c r="I370" s="1"/>
      <c r="J370" s="25"/>
      <c r="K370" s="1"/>
      <c r="L370" s="1"/>
      <c r="M370" s="1"/>
      <c r="N370" s="25"/>
      <c r="O370" s="25"/>
      <c r="P370" s="24"/>
      <c r="Q370" s="1"/>
      <c r="S370" s="24"/>
      <c r="T370" s="1"/>
      <c r="U370" s="1"/>
      <c r="V370" s="24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24"/>
      <c r="G371" s="1"/>
      <c r="H371" s="1"/>
      <c r="I371" s="1"/>
      <c r="J371" s="25"/>
      <c r="K371" s="1"/>
      <c r="L371" s="1"/>
      <c r="M371" s="1"/>
      <c r="N371" s="25"/>
      <c r="O371" s="25"/>
      <c r="P371" s="24"/>
      <c r="Q371" s="1"/>
      <c r="S371" s="24"/>
      <c r="T371" s="1"/>
      <c r="U371" s="1"/>
      <c r="V371" s="24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24"/>
      <c r="G372" s="1"/>
      <c r="H372" s="1"/>
      <c r="I372" s="1"/>
      <c r="J372" s="25"/>
      <c r="K372" s="1"/>
      <c r="L372" s="1"/>
      <c r="M372" s="1"/>
      <c r="N372" s="25"/>
      <c r="O372" s="25"/>
      <c r="P372" s="24"/>
      <c r="Q372" s="1"/>
      <c r="S372" s="24"/>
      <c r="T372" s="1"/>
      <c r="U372" s="1"/>
      <c r="V372" s="24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24"/>
      <c r="G373" s="1"/>
      <c r="H373" s="1"/>
      <c r="I373" s="1"/>
      <c r="J373" s="25"/>
      <c r="K373" s="1"/>
      <c r="L373" s="1"/>
      <c r="M373" s="1"/>
      <c r="N373" s="25"/>
      <c r="O373" s="25"/>
      <c r="P373" s="24"/>
      <c r="Q373" s="1"/>
      <c r="S373" s="24"/>
      <c r="T373" s="1"/>
      <c r="U373" s="1"/>
      <c r="V373" s="24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24"/>
      <c r="G374" s="1"/>
      <c r="H374" s="1"/>
      <c r="I374" s="1"/>
      <c r="J374" s="25"/>
      <c r="K374" s="1"/>
      <c r="L374" s="1"/>
      <c r="M374" s="1"/>
      <c r="N374" s="25"/>
      <c r="O374" s="25"/>
      <c r="P374" s="24"/>
      <c r="Q374" s="1"/>
      <c r="S374" s="24"/>
      <c r="T374" s="1"/>
      <c r="U374" s="1"/>
      <c r="V374" s="24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24"/>
      <c r="G375" s="1"/>
      <c r="H375" s="1"/>
      <c r="I375" s="1"/>
      <c r="J375" s="25"/>
      <c r="K375" s="1"/>
      <c r="L375" s="1"/>
      <c r="M375" s="1"/>
      <c r="N375" s="25"/>
      <c r="O375" s="25"/>
      <c r="P375" s="24"/>
      <c r="Q375" s="1"/>
      <c r="S375" s="24"/>
      <c r="T375" s="1"/>
      <c r="U375" s="1"/>
      <c r="V375" s="24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24"/>
      <c r="G376" s="1"/>
      <c r="H376" s="1"/>
      <c r="I376" s="1"/>
      <c r="J376" s="25"/>
      <c r="K376" s="1"/>
      <c r="L376" s="1"/>
      <c r="M376" s="1"/>
      <c r="N376" s="25"/>
      <c r="O376" s="25"/>
      <c r="P376" s="24"/>
      <c r="Q376" s="1"/>
      <c r="S376" s="24"/>
      <c r="T376" s="1"/>
      <c r="U376" s="1"/>
      <c r="V376" s="24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24"/>
      <c r="G377" s="1"/>
      <c r="H377" s="1"/>
      <c r="I377" s="1"/>
      <c r="J377" s="25"/>
      <c r="K377" s="1"/>
      <c r="L377" s="1"/>
      <c r="M377" s="1"/>
      <c r="N377" s="25"/>
      <c r="O377" s="25"/>
      <c r="P377" s="24"/>
      <c r="Q377" s="1"/>
      <c r="S377" s="24"/>
      <c r="T377" s="1"/>
      <c r="U377" s="1"/>
      <c r="V377" s="24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24"/>
      <c r="G378" s="1"/>
      <c r="H378" s="1"/>
      <c r="I378" s="1"/>
      <c r="J378" s="25"/>
      <c r="K378" s="1"/>
      <c r="L378" s="1"/>
      <c r="M378" s="1"/>
      <c r="N378" s="25"/>
      <c r="O378" s="25"/>
      <c r="P378" s="24"/>
      <c r="Q378" s="1"/>
      <c r="S378" s="24"/>
      <c r="T378" s="1"/>
      <c r="U378" s="1"/>
      <c r="V378" s="24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24"/>
      <c r="G379" s="1"/>
      <c r="H379" s="1"/>
      <c r="I379" s="1"/>
      <c r="J379" s="25"/>
      <c r="K379" s="1"/>
      <c r="L379" s="1"/>
      <c r="M379" s="1"/>
      <c r="N379" s="25"/>
      <c r="O379" s="25"/>
      <c r="P379" s="24"/>
      <c r="Q379" s="1"/>
      <c r="S379" s="24"/>
      <c r="T379" s="1"/>
      <c r="U379" s="1"/>
      <c r="V379" s="24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24"/>
      <c r="G380" s="1"/>
      <c r="H380" s="1"/>
      <c r="I380" s="1"/>
      <c r="J380" s="25"/>
      <c r="K380" s="1"/>
      <c r="L380" s="1"/>
      <c r="M380" s="1"/>
      <c r="N380" s="25"/>
      <c r="O380" s="25"/>
      <c r="P380" s="24"/>
      <c r="Q380" s="1"/>
      <c r="S380" s="24"/>
      <c r="T380" s="1"/>
      <c r="U380" s="1"/>
      <c r="V380" s="24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24"/>
      <c r="G381" s="1"/>
      <c r="H381" s="1"/>
      <c r="I381" s="1"/>
      <c r="J381" s="25"/>
      <c r="K381" s="1"/>
      <c r="L381" s="1"/>
      <c r="M381" s="1"/>
      <c r="N381" s="25"/>
      <c r="O381" s="25"/>
      <c r="P381" s="24"/>
      <c r="Q381" s="1"/>
      <c r="S381" s="24"/>
      <c r="T381" s="1"/>
      <c r="U381" s="1"/>
      <c r="V381" s="24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24"/>
      <c r="G382" s="1"/>
      <c r="H382" s="1"/>
      <c r="I382" s="1"/>
      <c r="J382" s="25"/>
      <c r="K382" s="1"/>
      <c r="L382" s="1"/>
      <c r="M382" s="1"/>
      <c r="N382" s="25"/>
      <c r="O382" s="25"/>
      <c r="P382" s="24"/>
      <c r="Q382" s="1"/>
      <c r="S382" s="24"/>
      <c r="T382" s="1"/>
      <c r="U382" s="1"/>
      <c r="V382" s="24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24"/>
      <c r="G383" s="1"/>
      <c r="H383" s="1"/>
      <c r="I383" s="1"/>
      <c r="J383" s="25"/>
      <c r="K383" s="1"/>
      <c r="L383" s="1"/>
      <c r="M383" s="1"/>
      <c r="N383" s="25"/>
      <c r="O383" s="25"/>
      <c r="P383" s="24"/>
      <c r="Q383" s="1"/>
      <c r="S383" s="24"/>
      <c r="T383" s="1"/>
      <c r="U383" s="1"/>
      <c r="V383" s="24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24"/>
      <c r="G384" s="1"/>
      <c r="H384" s="1"/>
      <c r="I384" s="1"/>
      <c r="J384" s="25"/>
      <c r="K384" s="1"/>
      <c r="L384" s="1"/>
      <c r="M384" s="1"/>
      <c r="N384" s="25"/>
      <c r="O384" s="25"/>
      <c r="P384" s="24"/>
      <c r="Q384" s="1"/>
      <c r="S384" s="24"/>
      <c r="T384" s="1"/>
      <c r="U384" s="1"/>
      <c r="V384" s="24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24"/>
      <c r="G385" s="1"/>
      <c r="H385" s="1"/>
      <c r="I385" s="1"/>
      <c r="J385" s="25"/>
      <c r="K385" s="1"/>
      <c r="L385" s="1"/>
      <c r="M385" s="1"/>
      <c r="N385" s="25"/>
      <c r="O385" s="25"/>
      <c r="P385" s="24"/>
      <c r="Q385" s="1"/>
      <c r="S385" s="24"/>
      <c r="T385" s="1"/>
      <c r="U385" s="1"/>
      <c r="V385" s="24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24"/>
      <c r="G386" s="1"/>
      <c r="H386" s="1"/>
      <c r="I386" s="1"/>
      <c r="J386" s="25"/>
      <c r="K386" s="1"/>
      <c r="L386" s="1"/>
      <c r="M386" s="1"/>
      <c r="N386" s="25"/>
      <c r="O386" s="25"/>
      <c r="P386" s="24"/>
      <c r="Q386" s="1"/>
      <c r="S386" s="24"/>
      <c r="T386" s="1"/>
      <c r="U386" s="1"/>
      <c r="V386" s="24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24"/>
      <c r="G387" s="1"/>
      <c r="H387" s="1"/>
      <c r="I387" s="1"/>
      <c r="J387" s="25"/>
      <c r="K387" s="1"/>
      <c r="L387" s="1"/>
      <c r="M387" s="1"/>
      <c r="N387" s="25"/>
      <c r="O387" s="25"/>
      <c r="P387" s="24"/>
      <c r="Q387" s="1"/>
      <c r="S387" s="24"/>
      <c r="T387" s="1"/>
      <c r="U387" s="1"/>
      <c r="V387" s="24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24"/>
      <c r="G388" s="1"/>
      <c r="H388" s="1"/>
      <c r="I388" s="1"/>
      <c r="J388" s="25"/>
      <c r="K388" s="1"/>
      <c r="L388" s="1"/>
      <c r="M388" s="1"/>
      <c r="N388" s="25"/>
      <c r="O388" s="25"/>
      <c r="P388" s="24"/>
      <c r="Q388" s="1"/>
      <c r="S388" s="24"/>
      <c r="T388" s="1"/>
      <c r="U388" s="1"/>
      <c r="V388" s="24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24"/>
      <c r="G389" s="1"/>
      <c r="H389" s="1"/>
      <c r="I389" s="1"/>
      <c r="J389" s="25"/>
      <c r="K389" s="1"/>
      <c r="L389" s="1"/>
      <c r="M389" s="1"/>
      <c r="N389" s="25"/>
      <c r="O389" s="25"/>
      <c r="P389" s="24"/>
      <c r="Q389" s="1"/>
      <c r="S389" s="24"/>
      <c r="T389" s="1"/>
      <c r="U389" s="1"/>
      <c r="V389" s="24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24"/>
      <c r="G390" s="1"/>
      <c r="H390" s="1"/>
      <c r="I390" s="1"/>
      <c r="J390" s="25"/>
      <c r="K390" s="1"/>
      <c r="L390" s="1"/>
      <c r="M390" s="1"/>
      <c r="N390" s="25"/>
      <c r="O390" s="25"/>
      <c r="P390" s="24"/>
      <c r="Q390" s="1"/>
      <c r="S390" s="24"/>
      <c r="T390" s="1"/>
      <c r="U390" s="1"/>
      <c r="V390" s="24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24"/>
      <c r="G391" s="1"/>
      <c r="H391" s="1"/>
      <c r="I391" s="1"/>
      <c r="J391" s="25"/>
      <c r="K391" s="1"/>
      <c r="L391" s="1"/>
      <c r="M391" s="1"/>
      <c r="N391" s="25"/>
      <c r="O391" s="25"/>
      <c r="P391" s="24"/>
      <c r="Q391" s="1"/>
      <c r="S391" s="24"/>
      <c r="T391" s="1"/>
      <c r="U391" s="1"/>
      <c r="V391" s="24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24"/>
      <c r="G392" s="1"/>
      <c r="H392" s="1"/>
      <c r="I392" s="1"/>
      <c r="J392" s="25"/>
      <c r="K392" s="1"/>
      <c r="L392" s="1"/>
      <c r="M392" s="1"/>
      <c r="N392" s="25"/>
      <c r="O392" s="25"/>
      <c r="P392" s="24"/>
      <c r="Q392" s="1"/>
      <c r="S392" s="24"/>
      <c r="T392" s="1"/>
      <c r="U392" s="1"/>
      <c r="V392" s="24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24"/>
      <c r="G393" s="1"/>
      <c r="H393" s="1"/>
      <c r="I393" s="1"/>
      <c r="J393" s="25"/>
      <c r="K393" s="1"/>
      <c r="L393" s="1"/>
      <c r="M393" s="1"/>
      <c r="N393" s="25"/>
      <c r="O393" s="25"/>
      <c r="P393" s="24"/>
      <c r="Q393" s="1"/>
      <c r="S393" s="24"/>
      <c r="T393" s="1"/>
      <c r="U393" s="1"/>
      <c r="V393" s="24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24"/>
      <c r="G394" s="1"/>
      <c r="H394" s="1"/>
      <c r="I394" s="1"/>
      <c r="J394" s="25"/>
      <c r="K394" s="1"/>
      <c r="L394" s="1"/>
      <c r="M394" s="1"/>
      <c r="N394" s="25"/>
      <c r="O394" s="25"/>
      <c r="P394" s="24"/>
      <c r="Q394" s="1"/>
      <c r="S394" s="24"/>
      <c r="T394" s="1"/>
      <c r="U394" s="1"/>
      <c r="V394" s="24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24"/>
      <c r="G395" s="1"/>
      <c r="H395" s="1"/>
      <c r="I395" s="1"/>
      <c r="J395" s="25"/>
      <c r="K395" s="1"/>
      <c r="L395" s="1"/>
      <c r="M395" s="1"/>
      <c r="N395" s="25"/>
      <c r="O395" s="25"/>
      <c r="P395" s="24"/>
      <c r="Q395" s="1"/>
      <c r="S395" s="24"/>
      <c r="T395" s="1"/>
      <c r="U395" s="1"/>
      <c r="V395" s="24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24"/>
      <c r="G396" s="1"/>
      <c r="H396" s="1"/>
      <c r="I396" s="1"/>
      <c r="J396" s="25"/>
      <c r="K396" s="1"/>
      <c r="L396" s="1"/>
      <c r="M396" s="1"/>
      <c r="N396" s="25"/>
      <c r="O396" s="25"/>
      <c r="P396" s="24"/>
      <c r="Q396" s="1"/>
      <c r="S396" s="24"/>
      <c r="T396" s="1"/>
      <c r="U396" s="1"/>
      <c r="V396" s="24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24"/>
      <c r="G397" s="1"/>
      <c r="H397" s="1"/>
      <c r="I397" s="1"/>
      <c r="J397" s="25"/>
      <c r="K397" s="1"/>
      <c r="L397" s="1"/>
      <c r="M397" s="1"/>
      <c r="N397" s="25"/>
      <c r="O397" s="25"/>
      <c r="P397" s="24"/>
      <c r="Q397" s="1"/>
      <c r="S397" s="24"/>
      <c r="T397" s="1"/>
      <c r="U397" s="1"/>
      <c r="V397" s="24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24"/>
      <c r="G398" s="1"/>
      <c r="H398" s="1"/>
      <c r="I398" s="1"/>
      <c r="J398" s="25"/>
      <c r="K398" s="1"/>
      <c r="L398" s="1"/>
      <c r="M398" s="1"/>
      <c r="N398" s="25"/>
      <c r="O398" s="25"/>
      <c r="P398" s="24"/>
      <c r="Q398" s="1"/>
      <c r="S398" s="24"/>
      <c r="T398" s="1"/>
      <c r="U398" s="1"/>
      <c r="V398" s="24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24"/>
      <c r="G399" s="1"/>
      <c r="H399" s="1"/>
      <c r="I399" s="1"/>
      <c r="J399" s="25"/>
      <c r="K399" s="1"/>
      <c r="L399" s="1"/>
      <c r="M399" s="1"/>
      <c r="N399" s="25"/>
      <c r="O399" s="25"/>
      <c r="P399" s="24"/>
      <c r="Q399" s="1"/>
      <c r="S399" s="24"/>
      <c r="T399" s="1"/>
      <c r="U399" s="1"/>
      <c r="V399" s="24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24"/>
      <c r="G400" s="1"/>
      <c r="H400" s="1"/>
      <c r="I400" s="1"/>
      <c r="J400" s="25"/>
      <c r="K400" s="1"/>
      <c r="L400" s="1"/>
      <c r="M400" s="1"/>
      <c r="N400" s="25"/>
      <c r="O400" s="25"/>
      <c r="P400" s="24"/>
      <c r="Q400" s="1"/>
      <c r="S400" s="24"/>
      <c r="T400" s="1"/>
      <c r="U400" s="1"/>
      <c r="V400" s="24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24"/>
      <c r="G401" s="1"/>
      <c r="H401" s="1"/>
      <c r="I401" s="1"/>
      <c r="J401" s="25"/>
      <c r="K401" s="1"/>
      <c r="L401" s="1"/>
      <c r="M401" s="1"/>
      <c r="N401" s="25"/>
      <c r="O401" s="25"/>
      <c r="P401" s="24"/>
      <c r="Q401" s="1"/>
      <c r="S401" s="24"/>
      <c r="T401" s="1"/>
      <c r="U401" s="1"/>
      <c r="V401" s="24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24"/>
      <c r="G402" s="1"/>
      <c r="H402" s="1"/>
      <c r="I402" s="1"/>
      <c r="J402" s="25"/>
      <c r="K402" s="1"/>
      <c r="L402" s="1"/>
      <c r="M402" s="1"/>
      <c r="N402" s="25"/>
      <c r="O402" s="25"/>
      <c r="P402" s="24"/>
      <c r="Q402" s="1"/>
      <c r="S402" s="24"/>
      <c r="T402" s="1"/>
      <c r="U402" s="1"/>
      <c r="V402" s="24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24"/>
      <c r="G403" s="1"/>
      <c r="H403" s="1"/>
      <c r="I403" s="1"/>
      <c r="J403" s="25"/>
      <c r="K403" s="1"/>
      <c r="L403" s="1"/>
      <c r="M403" s="1"/>
      <c r="N403" s="25"/>
      <c r="O403" s="25"/>
      <c r="P403" s="24"/>
      <c r="Q403" s="1"/>
      <c r="S403" s="24"/>
      <c r="T403" s="1"/>
      <c r="U403" s="1"/>
      <c r="V403" s="24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24"/>
      <c r="G404" s="1"/>
      <c r="H404" s="1"/>
      <c r="I404" s="1"/>
      <c r="J404" s="25"/>
      <c r="K404" s="1"/>
      <c r="L404" s="1"/>
      <c r="M404" s="1"/>
      <c r="N404" s="25"/>
      <c r="O404" s="25"/>
      <c r="P404" s="24"/>
      <c r="Q404" s="1"/>
      <c r="S404" s="24"/>
      <c r="T404" s="1"/>
      <c r="U404" s="1"/>
      <c r="V404" s="24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24"/>
      <c r="G405" s="1"/>
      <c r="H405" s="1"/>
      <c r="I405" s="1"/>
      <c r="J405" s="25"/>
      <c r="K405" s="1"/>
      <c r="L405" s="1"/>
      <c r="M405" s="1"/>
      <c r="N405" s="25"/>
      <c r="O405" s="25"/>
      <c r="P405" s="24"/>
      <c r="Q405" s="1"/>
      <c r="S405" s="24"/>
      <c r="T405" s="1"/>
      <c r="U405" s="1"/>
      <c r="V405" s="24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24"/>
      <c r="G406" s="1"/>
      <c r="H406" s="1"/>
      <c r="I406" s="1"/>
      <c r="J406" s="25"/>
      <c r="K406" s="1"/>
      <c r="L406" s="1"/>
      <c r="M406" s="1"/>
      <c r="N406" s="25"/>
      <c r="O406" s="25"/>
      <c r="P406" s="24"/>
      <c r="Q406" s="1"/>
      <c r="S406" s="24"/>
      <c r="T406" s="1"/>
      <c r="U406" s="1"/>
      <c r="V406" s="24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24"/>
      <c r="G407" s="1"/>
      <c r="H407" s="1"/>
      <c r="I407" s="1"/>
      <c r="J407" s="25"/>
      <c r="K407" s="1"/>
      <c r="L407" s="1"/>
      <c r="M407" s="1"/>
      <c r="N407" s="25"/>
      <c r="O407" s="25"/>
      <c r="P407" s="24"/>
      <c r="Q407" s="1"/>
      <c r="S407" s="24"/>
      <c r="T407" s="1"/>
      <c r="U407" s="1"/>
      <c r="V407" s="24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24"/>
      <c r="G408" s="1"/>
      <c r="H408" s="1"/>
      <c r="I408" s="1"/>
      <c r="J408" s="25"/>
      <c r="K408" s="1"/>
      <c r="L408" s="1"/>
      <c r="M408" s="1"/>
      <c r="N408" s="25"/>
      <c r="O408" s="25"/>
      <c r="P408" s="24"/>
      <c r="Q408" s="1"/>
      <c r="S408" s="24"/>
      <c r="T408" s="1"/>
      <c r="U408" s="1"/>
      <c r="V408" s="24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24"/>
      <c r="G409" s="1"/>
      <c r="H409" s="1"/>
      <c r="I409" s="1"/>
      <c r="J409" s="25"/>
      <c r="K409" s="1"/>
      <c r="L409" s="1"/>
      <c r="M409" s="1"/>
      <c r="N409" s="25"/>
      <c r="O409" s="25"/>
      <c r="P409" s="24"/>
      <c r="Q409" s="1"/>
      <c r="S409" s="24"/>
      <c r="T409" s="1"/>
      <c r="U409" s="1"/>
      <c r="V409" s="24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24"/>
      <c r="G410" s="1"/>
      <c r="H410" s="1"/>
      <c r="I410" s="1"/>
      <c r="J410" s="25"/>
      <c r="K410" s="1"/>
      <c r="L410" s="1"/>
      <c r="M410" s="1"/>
      <c r="N410" s="25"/>
      <c r="O410" s="25"/>
      <c r="P410" s="24"/>
      <c r="Q410" s="1"/>
      <c r="S410" s="24"/>
      <c r="T410" s="1"/>
      <c r="U410" s="1"/>
      <c r="V410" s="24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24"/>
      <c r="G411" s="1"/>
      <c r="H411" s="1"/>
      <c r="I411" s="1"/>
      <c r="J411" s="25"/>
      <c r="K411" s="1"/>
      <c r="L411" s="1"/>
      <c r="M411" s="1"/>
      <c r="N411" s="25"/>
      <c r="O411" s="25"/>
      <c r="P411" s="24"/>
      <c r="Q411" s="1"/>
      <c r="S411" s="24"/>
      <c r="T411" s="1"/>
      <c r="U411" s="1"/>
      <c r="V411" s="24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24"/>
      <c r="G412" s="1"/>
      <c r="H412" s="1"/>
      <c r="I412" s="1"/>
      <c r="J412" s="25"/>
      <c r="K412" s="1"/>
      <c r="L412" s="1"/>
      <c r="M412" s="1"/>
      <c r="N412" s="25"/>
      <c r="O412" s="25"/>
      <c r="P412" s="24"/>
      <c r="Q412" s="1"/>
      <c r="S412" s="24"/>
      <c r="T412" s="1"/>
      <c r="U412" s="1"/>
      <c r="V412" s="24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24"/>
      <c r="G413" s="1"/>
      <c r="H413" s="1"/>
      <c r="I413" s="1"/>
      <c r="J413" s="25"/>
      <c r="K413" s="1"/>
      <c r="L413" s="1"/>
      <c r="M413" s="1"/>
      <c r="N413" s="25"/>
      <c r="O413" s="25"/>
      <c r="P413" s="24"/>
      <c r="Q413" s="1"/>
      <c r="S413" s="24"/>
      <c r="T413" s="1"/>
      <c r="U413" s="1"/>
      <c r="V413" s="24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24"/>
      <c r="G414" s="1"/>
      <c r="H414" s="1"/>
      <c r="I414" s="1"/>
      <c r="J414" s="25"/>
      <c r="K414" s="1"/>
      <c r="L414" s="1"/>
      <c r="M414" s="1"/>
      <c r="N414" s="25"/>
      <c r="O414" s="25"/>
      <c r="P414" s="24"/>
      <c r="Q414" s="1"/>
      <c r="S414" s="24"/>
      <c r="T414" s="1"/>
      <c r="U414" s="1"/>
      <c r="V414" s="24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24"/>
      <c r="G415" s="1"/>
      <c r="H415" s="1"/>
      <c r="I415" s="1"/>
      <c r="J415" s="25"/>
      <c r="K415" s="1"/>
      <c r="L415" s="1"/>
      <c r="M415" s="1"/>
      <c r="N415" s="25"/>
      <c r="O415" s="25"/>
      <c r="P415" s="24"/>
      <c r="Q415" s="1"/>
      <c r="S415" s="24"/>
      <c r="T415" s="1"/>
      <c r="U415" s="1"/>
      <c r="V415" s="24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24"/>
      <c r="G416" s="1"/>
      <c r="H416" s="1"/>
      <c r="I416" s="1"/>
      <c r="J416" s="25"/>
      <c r="K416" s="1"/>
      <c r="L416" s="1"/>
      <c r="M416" s="1"/>
      <c r="N416" s="25"/>
      <c r="O416" s="25"/>
      <c r="P416" s="24"/>
      <c r="Q416" s="1"/>
      <c r="S416" s="24"/>
      <c r="T416" s="1"/>
      <c r="U416" s="1"/>
      <c r="V416" s="24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24"/>
      <c r="G417" s="1"/>
      <c r="H417" s="1"/>
      <c r="I417" s="1"/>
      <c r="J417" s="25"/>
      <c r="K417" s="1"/>
      <c r="L417" s="1"/>
      <c r="M417" s="1"/>
      <c r="N417" s="25"/>
      <c r="O417" s="25"/>
      <c r="P417" s="24"/>
      <c r="Q417" s="1"/>
      <c r="S417" s="24"/>
      <c r="T417" s="1"/>
      <c r="U417" s="1"/>
      <c r="V417" s="24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24"/>
      <c r="G418" s="1"/>
      <c r="H418" s="1"/>
      <c r="I418" s="1"/>
      <c r="J418" s="25"/>
      <c r="K418" s="1"/>
      <c r="L418" s="1"/>
      <c r="M418" s="1"/>
      <c r="N418" s="25"/>
      <c r="O418" s="25"/>
      <c r="P418" s="24"/>
      <c r="Q418" s="1"/>
      <c r="S418" s="24"/>
      <c r="T418" s="1"/>
      <c r="U418" s="1"/>
      <c r="V418" s="24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24"/>
      <c r="G419" s="1"/>
      <c r="H419" s="1"/>
      <c r="I419" s="1"/>
      <c r="J419" s="25"/>
      <c r="K419" s="1"/>
      <c r="L419" s="1"/>
      <c r="M419" s="1"/>
      <c r="N419" s="25"/>
      <c r="O419" s="25"/>
      <c r="P419" s="24"/>
      <c r="Q419" s="1"/>
      <c r="S419" s="24"/>
      <c r="T419" s="1"/>
      <c r="U419" s="1"/>
      <c r="V419" s="24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24"/>
      <c r="G420" s="1"/>
      <c r="H420" s="1"/>
      <c r="I420" s="1"/>
      <c r="J420" s="25"/>
      <c r="K420" s="1"/>
      <c r="L420" s="1"/>
      <c r="M420" s="1"/>
      <c r="N420" s="25"/>
      <c r="O420" s="25"/>
      <c r="P420" s="24"/>
      <c r="Q420" s="1"/>
      <c r="S420" s="24"/>
      <c r="T420" s="1"/>
      <c r="U420" s="1"/>
      <c r="V420" s="24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24"/>
      <c r="G421" s="1"/>
      <c r="H421" s="1"/>
      <c r="I421" s="1"/>
      <c r="J421" s="25"/>
      <c r="K421" s="1"/>
      <c r="L421" s="1"/>
      <c r="M421" s="1"/>
      <c r="N421" s="25"/>
      <c r="O421" s="25"/>
      <c r="P421" s="24"/>
      <c r="Q421" s="1"/>
      <c r="S421" s="24"/>
      <c r="T421" s="1"/>
      <c r="U421" s="1"/>
      <c r="V421" s="24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24"/>
      <c r="G422" s="1"/>
      <c r="H422" s="1"/>
      <c r="I422" s="1"/>
      <c r="J422" s="25"/>
      <c r="K422" s="1"/>
      <c r="L422" s="1"/>
      <c r="M422" s="1"/>
      <c r="N422" s="25"/>
      <c r="O422" s="25"/>
      <c r="P422" s="24"/>
      <c r="Q422" s="1"/>
      <c r="S422" s="24"/>
      <c r="T422" s="1"/>
      <c r="U422" s="1"/>
      <c r="V422" s="24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24"/>
      <c r="G423" s="1"/>
      <c r="H423" s="1"/>
      <c r="I423" s="1"/>
      <c r="J423" s="25"/>
      <c r="K423" s="1"/>
      <c r="L423" s="1"/>
      <c r="M423" s="1"/>
      <c r="N423" s="25"/>
      <c r="O423" s="25"/>
      <c r="P423" s="24"/>
      <c r="Q423" s="1"/>
      <c r="S423" s="24"/>
      <c r="T423" s="1"/>
      <c r="U423" s="1"/>
      <c r="V423" s="24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24"/>
      <c r="G424" s="1"/>
      <c r="H424" s="1"/>
      <c r="I424" s="1"/>
      <c r="J424" s="25"/>
      <c r="K424" s="1"/>
      <c r="L424" s="1"/>
      <c r="M424" s="1"/>
      <c r="N424" s="25"/>
      <c r="O424" s="25"/>
      <c r="P424" s="24"/>
      <c r="Q424" s="1"/>
      <c r="S424" s="24"/>
      <c r="T424" s="1"/>
      <c r="U424" s="1"/>
      <c r="V424" s="24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24"/>
      <c r="G425" s="1"/>
      <c r="H425" s="1"/>
      <c r="I425" s="1"/>
      <c r="J425" s="25"/>
      <c r="K425" s="1"/>
      <c r="L425" s="1"/>
      <c r="M425" s="1"/>
      <c r="N425" s="25"/>
      <c r="O425" s="25"/>
      <c r="P425" s="24"/>
      <c r="Q425" s="1"/>
      <c r="S425" s="24"/>
      <c r="T425" s="1"/>
      <c r="U425" s="1"/>
      <c r="V425" s="24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24"/>
      <c r="G426" s="1"/>
      <c r="H426" s="1"/>
      <c r="I426" s="1"/>
      <c r="J426" s="25"/>
      <c r="K426" s="1"/>
      <c r="L426" s="1"/>
      <c r="M426" s="1"/>
      <c r="N426" s="25"/>
      <c r="O426" s="25"/>
      <c r="P426" s="24"/>
      <c r="Q426" s="1"/>
      <c r="S426" s="24"/>
      <c r="T426" s="1"/>
      <c r="U426" s="1"/>
      <c r="V426" s="24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24"/>
      <c r="G427" s="1"/>
      <c r="H427" s="1"/>
      <c r="I427" s="1"/>
      <c r="J427" s="25"/>
      <c r="K427" s="1"/>
      <c r="L427" s="1"/>
      <c r="M427" s="1"/>
      <c r="N427" s="25"/>
      <c r="O427" s="25"/>
      <c r="P427" s="24"/>
      <c r="Q427" s="1"/>
      <c r="S427" s="24"/>
      <c r="T427" s="1"/>
      <c r="U427" s="1"/>
      <c r="V427" s="24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24"/>
      <c r="G428" s="1"/>
      <c r="H428" s="1"/>
      <c r="I428" s="1"/>
      <c r="J428" s="25"/>
      <c r="K428" s="1"/>
      <c r="L428" s="1"/>
      <c r="M428" s="1"/>
      <c r="N428" s="25"/>
      <c r="O428" s="25"/>
      <c r="P428" s="24"/>
      <c r="Q428" s="1"/>
      <c r="S428" s="24"/>
      <c r="T428" s="1"/>
      <c r="U428" s="1"/>
      <c r="V428" s="24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24"/>
      <c r="G429" s="1"/>
      <c r="H429" s="1"/>
      <c r="I429" s="1"/>
      <c r="J429" s="25"/>
      <c r="K429" s="1"/>
      <c r="L429" s="1"/>
      <c r="M429" s="1"/>
      <c r="N429" s="25"/>
      <c r="O429" s="25"/>
      <c r="P429" s="24"/>
      <c r="Q429" s="1"/>
      <c r="S429" s="24"/>
      <c r="T429" s="1"/>
      <c r="U429" s="1"/>
      <c r="V429" s="24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24"/>
      <c r="G430" s="1"/>
      <c r="H430" s="1"/>
      <c r="I430" s="1"/>
      <c r="J430" s="25"/>
      <c r="K430" s="1"/>
      <c r="L430" s="1"/>
      <c r="M430" s="1"/>
      <c r="N430" s="25"/>
      <c r="O430" s="25"/>
      <c r="P430" s="24"/>
      <c r="Q430" s="1"/>
      <c r="S430" s="24"/>
      <c r="T430" s="1"/>
      <c r="U430" s="1"/>
      <c r="V430" s="24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24"/>
      <c r="G431" s="1"/>
      <c r="H431" s="1"/>
      <c r="I431" s="1"/>
      <c r="J431" s="25"/>
      <c r="K431" s="1"/>
      <c r="L431" s="1"/>
      <c r="M431" s="1"/>
      <c r="N431" s="25"/>
      <c r="O431" s="25"/>
      <c r="P431" s="24"/>
      <c r="Q431" s="1"/>
      <c r="S431" s="24"/>
      <c r="T431" s="1"/>
      <c r="U431" s="1"/>
      <c r="V431" s="24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24"/>
      <c r="G432" s="1"/>
      <c r="H432" s="1"/>
      <c r="I432" s="1"/>
      <c r="J432" s="25"/>
      <c r="K432" s="1"/>
      <c r="L432" s="1"/>
      <c r="M432" s="1"/>
      <c r="N432" s="25"/>
      <c r="O432" s="25"/>
      <c r="P432" s="24"/>
      <c r="Q432" s="1"/>
      <c r="S432" s="24"/>
      <c r="T432" s="1"/>
      <c r="U432" s="1"/>
      <c r="V432" s="24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24"/>
      <c r="G433" s="1"/>
      <c r="H433" s="1"/>
      <c r="I433" s="1"/>
      <c r="J433" s="25"/>
      <c r="K433" s="1"/>
      <c r="L433" s="1"/>
      <c r="M433" s="1"/>
      <c r="N433" s="25"/>
      <c r="O433" s="25"/>
      <c r="P433" s="24"/>
      <c r="Q433" s="1"/>
      <c r="S433" s="24"/>
      <c r="T433" s="1"/>
      <c r="U433" s="1"/>
      <c r="V433" s="24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24"/>
      <c r="G434" s="1"/>
      <c r="H434" s="1"/>
      <c r="I434" s="1"/>
      <c r="J434" s="25"/>
      <c r="K434" s="1"/>
      <c r="L434" s="1"/>
      <c r="M434" s="1"/>
      <c r="N434" s="25"/>
      <c r="O434" s="25"/>
      <c r="P434" s="24"/>
      <c r="Q434" s="1"/>
      <c r="S434" s="24"/>
      <c r="T434" s="1"/>
      <c r="U434" s="1"/>
      <c r="V434" s="24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24"/>
      <c r="G435" s="1"/>
      <c r="H435" s="1"/>
      <c r="I435" s="1"/>
      <c r="J435" s="25"/>
      <c r="K435" s="1"/>
      <c r="L435" s="1"/>
      <c r="M435" s="1"/>
      <c r="N435" s="25"/>
      <c r="O435" s="25"/>
      <c r="P435" s="24"/>
      <c r="Q435" s="1"/>
      <c r="S435" s="24"/>
      <c r="T435" s="1"/>
      <c r="U435" s="1"/>
      <c r="V435" s="24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24"/>
      <c r="G436" s="1"/>
      <c r="H436" s="1"/>
      <c r="I436" s="1"/>
      <c r="J436" s="25"/>
      <c r="K436" s="1"/>
      <c r="L436" s="1"/>
      <c r="M436" s="1"/>
      <c r="N436" s="25"/>
      <c r="O436" s="25"/>
      <c r="P436" s="24"/>
      <c r="Q436" s="1"/>
      <c r="S436" s="24"/>
      <c r="T436" s="1"/>
      <c r="U436" s="1"/>
      <c r="V436" s="24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24"/>
      <c r="G437" s="1"/>
      <c r="H437" s="1"/>
      <c r="I437" s="1"/>
      <c r="J437" s="25"/>
      <c r="K437" s="1"/>
      <c r="L437" s="1"/>
      <c r="M437" s="1"/>
      <c r="N437" s="25"/>
      <c r="O437" s="25"/>
      <c r="P437" s="24"/>
      <c r="Q437" s="1"/>
      <c r="S437" s="24"/>
      <c r="T437" s="1"/>
      <c r="U437" s="1"/>
      <c r="V437" s="24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24"/>
      <c r="G438" s="1"/>
      <c r="H438" s="1"/>
      <c r="I438" s="1"/>
      <c r="J438" s="25"/>
      <c r="K438" s="1"/>
      <c r="L438" s="1"/>
      <c r="M438" s="1"/>
      <c r="N438" s="25"/>
      <c r="O438" s="25"/>
      <c r="P438" s="24"/>
      <c r="Q438" s="1"/>
      <c r="S438" s="24"/>
      <c r="T438" s="1"/>
      <c r="U438" s="1"/>
      <c r="V438" s="24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24"/>
      <c r="G439" s="1"/>
      <c r="H439" s="1"/>
      <c r="I439" s="1"/>
      <c r="J439" s="25"/>
      <c r="K439" s="1"/>
      <c r="L439" s="1"/>
      <c r="M439" s="1"/>
      <c r="N439" s="25"/>
      <c r="O439" s="25"/>
      <c r="P439" s="24"/>
      <c r="Q439" s="1"/>
      <c r="S439" s="24"/>
      <c r="T439" s="1"/>
      <c r="U439" s="1"/>
      <c r="V439" s="24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24"/>
      <c r="G440" s="1"/>
      <c r="H440" s="1"/>
      <c r="I440" s="1"/>
      <c r="J440" s="25"/>
      <c r="K440" s="1"/>
      <c r="L440" s="1"/>
      <c r="M440" s="1"/>
      <c r="N440" s="25"/>
      <c r="O440" s="25"/>
      <c r="P440" s="24"/>
      <c r="Q440" s="1"/>
      <c r="S440" s="24"/>
      <c r="T440" s="1"/>
      <c r="U440" s="1"/>
      <c r="V440" s="24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24"/>
      <c r="G441" s="1"/>
      <c r="H441" s="1"/>
      <c r="I441" s="1"/>
      <c r="J441" s="25"/>
      <c r="K441" s="1"/>
      <c r="L441" s="1"/>
      <c r="M441" s="1"/>
      <c r="N441" s="25"/>
      <c r="O441" s="25"/>
      <c r="P441" s="24"/>
      <c r="Q441" s="1"/>
      <c r="S441" s="24"/>
      <c r="T441" s="1"/>
      <c r="U441" s="1"/>
      <c r="V441" s="24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24"/>
      <c r="G442" s="1"/>
      <c r="H442" s="1"/>
      <c r="I442" s="1"/>
      <c r="J442" s="25"/>
      <c r="K442" s="1"/>
      <c r="L442" s="1"/>
      <c r="M442" s="1"/>
      <c r="N442" s="25"/>
      <c r="O442" s="25"/>
      <c r="P442" s="24"/>
      <c r="Q442" s="1"/>
      <c r="S442" s="24"/>
      <c r="T442" s="1"/>
      <c r="U442" s="1"/>
      <c r="V442" s="24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24"/>
      <c r="G443" s="1"/>
      <c r="H443" s="1"/>
      <c r="I443" s="1"/>
      <c r="J443" s="25"/>
      <c r="K443" s="1"/>
      <c r="L443" s="1"/>
      <c r="M443" s="1"/>
      <c r="N443" s="25"/>
      <c r="O443" s="25"/>
      <c r="P443" s="24"/>
      <c r="Q443" s="1"/>
      <c r="S443" s="24"/>
      <c r="T443" s="1"/>
      <c r="U443" s="1"/>
      <c r="V443" s="24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24"/>
      <c r="G444" s="1"/>
      <c r="H444" s="1"/>
      <c r="I444" s="1"/>
      <c r="J444" s="25"/>
      <c r="K444" s="1"/>
      <c r="L444" s="1"/>
      <c r="M444" s="1"/>
      <c r="N444" s="25"/>
      <c r="O444" s="25"/>
      <c r="P444" s="24"/>
      <c r="Q444" s="1"/>
      <c r="S444" s="24"/>
      <c r="T444" s="1"/>
      <c r="U444" s="1"/>
      <c r="V444" s="24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24"/>
      <c r="G445" s="1"/>
      <c r="H445" s="1"/>
      <c r="I445" s="1"/>
      <c r="J445" s="25"/>
      <c r="K445" s="1"/>
      <c r="L445" s="1"/>
      <c r="M445" s="1"/>
      <c r="N445" s="25"/>
      <c r="O445" s="25"/>
      <c r="P445" s="24"/>
      <c r="Q445" s="1"/>
      <c r="S445" s="24"/>
      <c r="T445" s="1"/>
      <c r="U445" s="1"/>
      <c r="V445" s="24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24"/>
      <c r="G446" s="1"/>
      <c r="H446" s="1"/>
      <c r="I446" s="1"/>
      <c r="J446" s="25"/>
      <c r="K446" s="1"/>
      <c r="L446" s="1"/>
      <c r="M446" s="1"/>
      <c r="N446" s="25"/>
      <c r="O446" s="25"/>
      <c r="P446" s="24"/>
      <c r="Q446" s="1"/>
      <c r="S446" s="24"/>
      <c r="T446" s="1"/>
      <c r="U446" s="1"/>
      <c r="V446" s="24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24"/>
      <c r="G447" s="1"/>
      <c r="H447" s="1"/>
      <c r="I447" s="1"/>
      <c r="J447" s="25"/>
      <c r="K447" s="1"/>
      <c r="L447" s="1"/>
      <c r="M447" s="1"/>
      <c r="N447" s="25"/>
      <c r="O447" s="25"/>
      <c r="P447" s="24"/>
      <c r="Q447" s="1"/>
      <c r="S447" s="24"/>
      <c r="T447" s="1"/>
      <c r="U447" s="1"/>
      <c r="V447" s="24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24"/>
      <c r="G448" s="1"/>
      <c r="H448" s="1"/>
      <c r="I448" s="1"/>
      <c r="J448" s="25"/>
      <c r="K448" s="1"/>
      <c r="L448" s="1"/>
      <c r="M448" s="1"/>
      <c r="N448" s="25"/>
      <c r="O448" s="25"/>
      <c r="P448" s="24"/>
      <c r="Q448" s="1"/>
      <c r="S448" s="24"/>
      <c r="T448" s="1"/>
      <c r="U448" s="1"/>
      <c r="V448" s="24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24"/>
      <c r="G449" s="1"/>
      <c r="H449" s="1"/>
      <c r="I449" s="1"/>
      <c r="J449" s="25"/>
      <c r="K449" s="1"/>
      <c r="L449" s="1"/>
      <c r="M449" s="1"/>
      <c r="N449" s="25"/>
      <c r="O449" s="25"/>
      <c r="P449" s="24"/>
      <c r="Q449" s="1"/>
      <c r="S449" s="24"/>
      <c r="T449" s="1"/>
      <c r="U449" s="1"/>
      <c r="V449" s="24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24"/>
      <c r="G450" s="1"/>
      <c r="H450" s="1"/>
      <c r="I450" s="1"/>
      <c r="J450" s="25"/>
      <c r="K450" s="1"/>
      <c r="L450" s="1"/>
      <c r="M450" s="1"/>
      <c r="N450" s="25"/>
      <c r="O450" s="25"/>
      <c r="P450" s="24"/>
      <c r="Q450" s="1"/>
      <c r="S450" s="24"/>
      <c r="T450" s="1"/>
      <c r="U450" s="1"/>
      <c r="V450" s="24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24"/>
      <c r="G451" s="1"/>
      <c r="H451" s="1"/>
      <c r="I451" s="1"/>
      <c r="J451" s="25"/>
      <c r="K451" s="1"/>
      <c r="L451" s="1"/>
      <c r="M451" s="1"/>
      <c r="N451" s="25"/>
      <c r="O451" s="25"/>
      <c r="P451" s="24"/>
      <c r="Q451" s="1"/>
      <c r="S451" s="24"/>
      <c r="T451" s="1"/>
      <c r="U451" s="1"/>
      <c r="V451" s="24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24"/>
      <c r="G452" s="1"/>
      <c r="H452" s="1"/>
      <c r="I452" s="1"/>
      <c r="J452" s="25"/>
      <c r="K452" s="1"/>
      <c r="L452" s="1"/>
      <c r="M452" s="1"/>
      <c r="N452" s="25"/>
      <c r="O452" s="25"/>
      <c r="P452" s="24"/>
      <c r="Q452" s="1"/>
      <c r="S452" s="24"/>
      <c r="T452" s="1"/>
      <c r="U452" s="1"/>
      <c r="V452" s="24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24"/>
      <c r="G453" s="1"/>
      <c r="H453" s="1"/>
      <c r="I453" s="1"/>
      <c r="J453" s="25"/>
      <c r="K453" s="1"/>
      <c r="L453" s="1"/>
      <c r="M453" s="1"/>
      <c r="N453" s="25"/>
      <c r="O453" s="25"/>
      <c r="P453" s="24"/>
      <c r="Q453" s="1"/>
      <c r="S453" s="24"/>
      <c r="T453" s="1"/>
      <c r="U453" s="1"/>
      <c r="V453" s="24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24"/>
      <c r="G454" s="1"/>
      <c r="H454" s="1"/>
      <c r="I454" s="1"/>
      <c r="J454" s="25"/>
      <c r="K454" s="1"/>
      <c r="L454" s="1"/>
      <c r="M454" s="1"/>
      <c r="N454" s="25"/>
      <c r="O454" s="25"/>
      <c r="P454" s="24"/>
      <c r="Q454" s="1"/>
      <c r="S454" s="24"/>
      <c r="T454" s="1"/>
      <c r="U454" s="1"/>
      <c r="V454" s="24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24"/>
      <c r="G455" s="1"/>
      <c r="H455" s="1"/>
      <c r="I455" s="1"/>
      <c r="J455" s="25"/>
      <c r="K455" s="1"/>
      <c r="L455" s="1"/>
      <c r="M455" s="1"/>
      <c r="N455" s="25"/>
      <c r="O455" s="25"/>
      <c r="P455" s="24"/>
      <c r="Q455" s="1"/>
      <c r="S455" s="24"/>
      <c r="T455" s="1"/>
      <c r="U455" s="1"/>
      <c r="V455" s="24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24"/>
      <c r="G456" s="1"/>
      <c r="H456" s="1"/>
      <c r="I456" s="1"/>
      <c r="J456" s="25"/>
      <c r="K456" s="1"/>
      <c r="L456" s="1"/>
      <c r="M456" s="1"/>
      <c r="N456" s="25"/>
      <c r="O456" s="25"/>
      <c r="P456" s="24"/>
      <c r="Q456" s="1"/>
      <c r="S456" s="24"/>
      <c r="T456" s="1"/>
      <c r="U456" s="1"/>
      <c r="V456" s="24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24"/>
      <c r="G457" s="1"/>
      <c r="H457" s="1"/>
      <c r="I457" s="1"/>
      <c r="J457" s="25"/>
      <c r="K457" s="1"/>
      <c r="L457" s="1"/>
      <c r="M457" s="1"/>
      <c r="N457" s="25"/>
      <c r="O457" s="25"/>
      <c r="P457" s="24"/>
      <c r="Q457" s="1"/>
      <c r="S457" s="24"/>
      <c r="T457" s="1"/>
      <c r="U457" s="1"/>
      <c r="V457" s="24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24"/>
      <c r="G458" s="1"/>
      <c r="H458" s="1"/>
      <c r="I458" s="1"/>
      <c r="J458" s="25"/>
      <c r="K458" s="1"/>
      <c r="L458" s="1"/>
      <c r="M458" s="1"/>
      <c r="N458" s="25"/>
      <c r="O458" s="25"/>
      <c r="P458" s="24"/>
      <c r="Q458" s="1"/>
      <c r="S458" s="24"/>
      <c r="T458" s="1"/>
      <c r="U458" s="1"/>
      <c r="V458" s="24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24"/>
      <c r="G459" s="1"/>
      <c r="H459" s="1"/>
      <c r="I459" s="1"/>
      <c r="J459" s="25"/>
      <c r="K459" s="1"/>
      <c r="L459" s="1"/>
      <c r="M459" s="1"/>
      <c r="N459" s="25"/>
      <c r="O459" s="25"/>
      <c r="P459" s="24"/>
      <c r="Q459" s="1"/>
      <c r="S459" s="24"/>
      <c r="T459" s="1"/>
      <c r="U459" s="1"/>
      <c r="V459" s="24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24"/>
      <c r="G460" s="1"/>
      <c r="H460" s="1"/>
      <c r="I460" s="1"/>
      <c r="J460" s="25"/>
      <c r="K460" s="1"/>
      <c r="L460" s="1"/>
      <c r="M460" s="1"/>
      <c r="N460" s="25"/>
      <c r="O460" s="25"/>
      <c r="P460" s="24"/>
      <c r="Q460" s="1"/>
      <c r="S460" s="24"/>
      <c r="T460" s="1"/>
      <c r="U460" s="1"/>
      <c r="V460" s="24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24"/>
      <c r="G461" s="1"/>
      <c r="H461" s="1"/>
      <c r="I461" s="1"/>
      <c r="J461" s="25"/>
      <c r="K461" s="1"/>
      <c r="L461" s="1"/>
      <c r="M461" s="1"/>
      <c r="N461" s="25"/>
      <c r="O461" s="25"/>
      <c r="P461" s="24"/>
      <c r="Q461" s="1"/>
      <c r="S461" s="24"/>
      <c r="T461" s="1"/>
      <c r="U461" s="1"/>
      <c r="V461" s="24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24"/>
      <c r="G462" s="1"/>
      <c r="H462" s="1"/>
      <c r="I462" s="1"/>
      <c r="J462" s="25"/>
      <c r="K462" s="1"/>
      <c r="L462" s="1"/>
      <c r="M462" s="1"/>
      <c r="N462" s="25"/>
      <c r="O462" s="25"/>
      <c r="P462" s="24"/>
      <c r="Q462" s="1"/>
      <c r="S462" s="24"/>
      <c r="T462" s="1"/>
      <c r="U462" s="1"/>
      <c r="V462" s="24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24"/>
      <c r="G463" s="1"/>
      <c r="H463" s="1"/>
      <c r="I463" s="1"/>
      <c r="J463" s="25"/>
      <c r="K463" s="1"/>
      <c r="L463" s="1"/>
      <c r="M463" s="1"/>
      <c r="N463" s="25"/>
      <c r="O463" s="25"/>
      <c r="P463" s="24"/>
      <c r="Q463" s="1"/>
      <c r="S463" s="24"/>
      <c r="T463" s="1"/>
      <c r="U463" s="1"/>
      <c r="V463" s="24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24"/>
      <c r="G464" s="1"/>
      <c r="H464" s="1"/>
      <c r="I464" s="1"/>
      <c r="J464" s="25"/>
      <c r="K464" s="1"/>
      <c r="L464" s="1"/>
      <c r="M464" s="1"/>
      <c r="N464" s="25"/>
      <c r="O464" s="25"/>
      <c r="P464" s="24"/>
      <c r="Q464" s="1"/>
      <c r="S464" s="24"/>
      <c r="T464" s="1"/>
      <c r="U464" s="1"/>
      <c r="V464" s="24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24"/>
      <c r="G465" s="1"/>
      <c r="H465" s="1"/>
      <c r="I465" s="1"/>
      <c r="J465" s="25"/>
      <c r="K465" s="1"/>
      <c r="L465" s="1"/>
      <c r="M465" s="1"/>
      <c r="N465" s="25"/>
      <c r="O465" s="25"/>
      <c r="P465" s="24"/>
      <c r="Q465" s="1"/>
      <c r="S465" s="24"/>
      <c r="T465" s="1"/>
      <c r="U465" s="1"/>
      <c r="V465" s="24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24"/>
      <c r="G466" s="1"/>
      <c r="H466" s="1"/>
      <c r="I466" s="1"/>
      <c r="J466" s="25"/>
      <c r="K466" s="1"/>
      <c r="L466" s="1"/>
      <c r="M466" s="1"/>
      <c r="N466" s="25"/>
      <c r="O466" s="25"/>
      <c r="P466" s="24"/>
      <c r="Q466" s="1"/>
      <c r="S466" s="24"/>
      <c r="T466" s="1"/>
      <c r="U466" s="1"/>
      <c r="V466" s="24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24"/>
      <c r="G467" s="1"/>
      <c r="H467" s="1"/>
      <c r="I467" s="1"/>
      <c r="J467" s="25"/>
      <c r="K467" s="1"/>
      <c r="L467" s="1"/>
      <c r="M467" s="1"/>
      <c r="N467" s="25"/>
      <c r="O467" s="25"/>
      <c r="P467" s="24"/>
      <c r="Q467" s="1"/>
      <c r="S467" s="24"/>
      <c r="T467" s="1"/>
      <c r="U467" s="1"/>
      <c r="V467" s="24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24"/>
      <c r="G468" s="1"/>
      <c r="H468" s="1"/>
      <c r="I468" s="1"/>
      <c r="J468" s="25"/>
      <c r="K468" s="1"/>
      <c r="L468" s="1"/>
      <c r="M468" s="1"/>
      <c r="N468" s="25"/>
      <c r="O468" s="25"/>
      <c r="P468" s="24"/>
      <c r="Q468" s="1"/>
      <c r="S468" s="24"/>
      <c r="T468" s="1"/>
      <c r="U468" s="1"/>
      <c r="V468" s="24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24"/>
      <c r="G469" s="1"/>
      <c r="H469" s="1"/>
      <c r="I469" s="1"/>
      <c r="J469" s="25"/>
      <c r="K469" s="1"/>
      <c r="L469" s="1"/>
      <c r="M469" s="1"/>
      <c r="N469" s="25"/>
      <c r="O469" s="25"/>
      <c r="P469" s="24"/>
      <c r="Q469" s="1"/>
      <c r="S469" s="24"/>
      <c r="T469" s="1"/>
      <c r="U469" s="1"/>
      <c r="V469" s="24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24"/>
      <c r="G470" s="1"/>
      <c r="H470" s="1"/>
      <c r="I470" s="1"/>
      <c r="J470" s="25"/>
      <c r="K470" s="1"/>
      <c r="L470" s="1"/>
      <c r="M470" s="1"/>
      <c r="N470" s="25"/>
      <c r="O470" s="25"/>
      <c r="P470" s="24"/>
      <c r="Q470" s="1"/>
      <c r="S470" s="24"/>
      <c r="T470" s="1"/>
      <c r="U470" s="1"/>
      <c r="V470" s="24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24"/>
      <c r="G471" s="1"/>
      <c r="H471" s="1"/>
      <c r="I471" s="1"/>
      <c r="J471" s="25"/>
      <c r="K471" s="1"/>
      <c r="L471" s="1"/>
      <c r="M471" s="1"/>
      <c r="N471" s="25"/>
      <c r="O471" s="25"/>
      <c r="P471" s="24"/>
      <c r="Q471" s="1"/>
      <c r="S471" s="24"/>
      <c r="T471" s="1"/>
      <c r="U471" s="1"/>
      <c r="V471" s="24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24"/>
      <c r="G472" s="1"/>
      <c r="H472" s="1"/>
      <c r="I472" s="1"/>
      <c r="J472" s="25"/>
      <c r="K472" s="1"/>
      <c r="L472" s="1"/>
      <c r="M472" s="1"/>
      <c r="N472" s="25"/>
      <c r="O472" s="25"/>
      <c r="P472" s="24"/>
      <c r="Q472" s="1"/>
      <c r="S472" s="24"/>
      <c r="T472" s="1"/>
      <c r="U472" s="1"/>
      <c r="V472" s="24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24"/>
      <c r="G473" s="1"/>
      <c r="H473" s="1"/>
      <c r="I473" s="1"/>
      <c r="J473" s="25"/>
      <c r="K473" s="1"/>
      <c r="L473" s="1"/>
      <c r="M473" s="1"/>
      <c r="N473" s="25"/>
      <c r="O473" s="25"/>
      <c r="P473" s="24"/>
      <c r="Q473" s="1"/>
      <c r="S473" s="24"/>
      <c r="T473" s="1"/>
      <c r="U473" s="1"/>
      <c r="V473" s="24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24"/>
      <c r="G474" s="1"/>
      <c r="H474" s="1"/>
      <c r="I474" s="1"/>
      <c r="J474" s="25"/>
      <c r="K474" s="1"/>
      <c r="L474" s="1"/>
      <c r="M474" s="1"/>
      <c r="N474" s="25"/>
      <c r="O474" s="25"/>
      <c r="P474" s="24"/>
      <c r="Q474" s="1"/>
      <c r="S474" s="24"/>
      <c r="T474" s="1"/>
      <c r="U474" s="1"/>
      <c r="V474" s="24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24"/>
      <c r="G475" s="1"/>
      <c r="H475" s="1"/>
      <c r="I475" s="1"/>
      <c r="J475" s="25"/>
      <c r="K475" s="1"/>
      <c r="L475" s="1"/>
      <c r="M475" s="1"/>
      <c r="N475" s="25"/>
      <c r="O475" s="25"/>
      <c r="P475" s="24"/>
      <c r="Q475" s="1"/>
      <c r="S475" s="24"/>
      <c r="T475" s="1"/>
      <c r="U475" s="1"/>
      <c r="V475" s="24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24"/>
      <c r="G476" s="1"/>
      <c r="H476" s="1"/>
      <c r="I476" s="1"/>
      <c r="J476" s="25"/>
      <c r="K476" s="1"/>
      <c r="L476" s="1"/>
      <c r="M476" s="1"/>
      <c r="N476" s="25"/>
      <c r="O476" s="25"/>
      <c r="P476" s="24"/>
      <c r="Q476" s="1"/>
      <c r="S476" s="24"/>
      <c r="T476" s="1"/>
      <c r="U476" s="1"/>
      <c r="V476" s="24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24"/>
      <c r="G477" s="1"/>
      <c r="H477" s="1"/>
      <c r="I477" s="1"/>
      <c r="J477" s="25"/>
      <c r="K477" s="1"/>
      <c r="L477" s="1"/>
      <c r="M477" s="1"/>
      <c r="N477" s="25"/>
      <c r="O477" s="25"/>
      <c r="P477" s="24"/>
      <c r="Q477" s="1"/>
      <c r="S477" s="24"/>
      <c r="T477" s="1"/>
      <c r="U477" s="1"/>
      <c r="V477" s="24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24"/>
      <c r="G478" s="1"/>
      <c r="H478" s="1"/>
      <c r="I478" s="1"/>
      <c r="J478" s="25"/>
      <c r="K478" s="1"/>
      <c r="L478" s="1"/>
      <c r="M478" s="1"/>
      <c r="N478" s="25"/>
      <c r="O478" s="25"/>
      <c r="P478" s="24"/>
      <c r="Q478" s="1"/>
      <c r="S478" s="24"/>
      <c r="T478" s="1"/>
      <c r="U478" s="1"/>
      <c r="V478" s="24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24"/>
      <c r="G479" s="1"/>
      <c r="H479" s="1"/>
      <c r="I479" s="1"/>
      <c r="J479" s="25"/>
      <c r="K479" s="1"/>
      <c r="L479" s="1"/>
      <c r="M479" s="1"/>
      <c r="N479" s="25"/>
      <c r="O479" s="25"/>
      <c r="P479" s="24"/>
      <c r="Q479" s="1"/>
      <c r="S479" s="24"/>
      <c r="T479" s="1"/>
      <c r="U479" s="1"/>
      <c r="V479" s="24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24"/>
      <c r="G480" s="1"/>
      <c r="H480" s="1"/>
      <c r="I480" s="1"/>
      <c r="J480" s="25"/>
      <c r="K480" s="1"/>
      <c r="L480" s="1"/>
      <c r="M480" s="1"/>
      <c r="N480" s="25"/>
      <c r="O480" s="25"/>
      <c r="P480" s="24"/>
      <c r="Q480" s="1"/>
      <c r="S480" s="24"/>
      <c r="T480" s="1"/>
      <c r="U480" s="1"/>
      <c r="V480" s="24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24"/>
      <c r="G481" s="1"/>
      <c r="H481" s="1"/>
      <c r="I481" s="1"/>
      <c r="J481" s="25"/>
      <c r="K481" s="1"/>
      <c r="L481" s="1"/>
      <c r="M481" s="1"/>
      <c r="N481" s="25"/>
      <c r="O481" s="25"/>
      <c r="P481" s="24"/>
      <c r="Q481" s="1"/>
      <c r="S481" s="24"/>
      <c r="T481" s="1"/>
      <c r="U481" s="1"/>
      <c r="V481" s="24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24"/>
      <c r="G482" s="1"/>
      <c r="H482" s="1"/>
      <c r="I482" s="1"/>
      <c r="J482" s="25"/>
      <c r="K482" s="1"/>
      <c r="L482" s="1"/>
      <c r="M482" s="1"/>
      <c r="N482" s="25"/>
      <c r="O482" s="25"/>
      <c r="P482" s="24"/>
      <c r="Q482" s="1"/>
      <c r="S482" s="24"/>
      <c r="T482" s="1"/>
      <c r="U482" s="1"/>
      <c r="V482" s="24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24"/>
      <c r="G483" s="1"/>
      <c r="H483" s="1"/>
      <c r="I483" s="1"/>
      <c r="J483" s="25"/>
      <c r="K483" s="1"/>
      <c r="L483" s="1"/>
      <c r="M483" s="1"/>
      <c r="N483" s="25"/>
      <c r="O483" s="25"/>
      <c r="P483" s="24"/>
      <c r="Q483" s="1"/>
      <c r="S483" s="24"/>
      <c r="T483" s="1"/>
      <c r="U483" s="1"/>
      <c r="V483" s="24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24"/>
      <c r="G484" s="1"/>
      <c r="H484" s="1"/>
      <c r="I484" s="1"/>
      <c r="J484" s="25"/>
      <c r="K484" s="1"/>
      <c r="L484" s="1"/>
      <c r="M484" s="1"/>
      <c r="N484" s="25"/>
      <c r="O484" s="25"/>
      <c r="P484" s="24"/>
      <c r="Q484" s="1"/>
      <c r="S484" s="24"/>
      <c r="T484" s="1"/>
      <c r="U484" s="1"/>
      <c r="V484" s="24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24"/>
      <c r="G485" s="1"/>
      <c r="H485" s="1"/>
      <c r="I485" s="1"/>
      <c r="J485" s="25"/>
      <c r="K485" s="1"/>
      <c r="L485" s="1"/>
      <c r="M485" s="1"/>
      <c r="N485" s="25"/>
      <c r="O485" s="25"/>
      <c r="P485" s="24"/>
      <c r="Q485" s="1"/>
      <c r="S485" s="24"/>
      <c r="T485" s="1"/>
      <c r="U485" s="1"/>
      <c r="V485" s="24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24"/>
      <c r="G486" s="1"/>
      <c r="H486" s="1"/>
      <c r="I486" s="1"/>
      <c r="J486" s="25"/>
      <c r="K486" s="1"/>
      <c r="L486" s="1"/>
      <c r="M486" s="1"/>
      <c r="N486" s="25"/>
      <c r="O486" s="25"/>
      <c r="P486" s="24"/>
      <c r="Q486" s="1"/>
      <c r="S486" s="24"/>
      <c r="T486" s="1"/>
      <c r="U486" s="1"/>
      <c r="V486" s="24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24"/>
      <c r="G487" s="1"/>
      <c r="H487" s="1"/>
      <c r="I487" s="1"/>
      <c r="J487" s="25"/>
      <c r="K487" s="1"/>
      <c r="L487" s="1"/>
      <c r="M487" s="1"/>
      <c r="N487" s="25"/>
      <c r="O487" s="25"/>
      <c r="P487" s="24"/>
      <c r="Q487" s="1"/>
      <c r="S487" s="24"/>
      <c r="T487" s="1"/>
      <c r="U487" s="1"/>
      <c r="V487" s="24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24"/>
      <c r="G488" s="1"/>
      <c r="H488" s="1"/>
      <c r="I488" s="1"/>
      <c r="J488" s="25"/>
      <c r="K488" s="1"/>
      <c r="L488" s="1"/>
      <c r="M488" s="1"/>
      <c r="N488" s="25"/>
      <c r="O488" s="25"/>
      <c r="P488" s="24"/>
      <c r="Q488" s="1"/>
      <c r="S488" s="24"/>
      <c r="T488" s="1"/>
      <c r="U488" s="1"/>
      <c r="V488" s="24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24"/>
      <c r="G489" s="1"/>
      <c r="H489" s="1"/>
      <c r="I489" s="1"/>
      <c r="J489" s="25"/>
      <c r="K489" s="1"/>
      <c r="L489" s="1"/>
      <c r="M489" s="1"/>
      <c r="N489" s="25"/>
      <c r="O489" s="25"/>
      <c r="P489" s="24"/>
      <c r="Q489" s="1"/>
      <c r="S489" s="24"/>
      <c r="T489" s="1"/>
      <c r="U489" s="1"/>
      <c r="V489" s="24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24"/>
      <c r="G490" s="1"/>
      <c r="H490" s="1"/>
      <c r="I490" s="1"/>
      <c r="J490" s="25"/>
      <c r="K490" s="1"/>
      <c r="L490" s="1"/>
      <c r="M490" s="1"/>
      <c r="N490" s="25"/>
      <c r="O490" s="25"/>
      <c r="P490" s="24"/>
      <c r="Q490" s="1"/>
      <c r="S490" s="24"/>
      <c r="T490" s="1"/>
      <c r="U490" s="1"/>
      <c r="V490" s="24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24"/>
      <c r="G491" s="1"/>
      <c r="H491" s="1"/>
      <c r="I491" s="1"/>
      <c r="J491" s="25"/>
      <c r="K491" s="1"/>
      <c r="L491" s="1"/>
      <c r="M491" s="1"/>
      <c r="N491" s="25"/>
      <c r="O491" s="25"/>
      <c r="P491" s="24"/>
      <c r="Q491" s="1"/>
      <c r="S491" s="24"/>
      <c r="T491" s="1"/>
      <c r="U491" s="1"/>
      <c r="V491" s="24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24"/>
      <c r="G492" s="1"/>
      <c r="H492" s="1"/>
      <c r="I492" s="1"/>
      <c r="J492" s="25"/>
      <c r="K492" s="1"/>
      <c r="L492" s="1"/>
      <c r="M492" s="1"/>
      <c r="N492" s="25"/>
      <c r="O492" s="25"/>
      <c r="P492" s="24"/>
      <c r="Q492" s="1"/>
      <c r="S492" s="24"/>
      <c r="T492" s="1"/>
      <c r="U492" s="1"/>
      <c r="V492" s="24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24"/>
      <c r="G493" s="1"/>
      <c r="H493" s="1"/>
      <c r="I493" s="1"/>
      <c r="J493" s="25"/>
      <c r="K493" s="1"/>
      <c r="L493" s="1"/>
      <c r="M493" s="1"/>
      <c r="N493" s="25"/>
      <c r="O493" s="25"/>
      <c r="P493" s="24"/>
      <c r="Q493" s="1"/>
      <c r="S493" s="24"/>
      <c r="T493" s="1"/>
      <c r="U493" s="1"/>
      <c r="V493" s="24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24"/>
      <c r="G494" s="1"/>
      <c r="H494" s="1"/>
      <c r="I494" s="1"/>
      <c r="J494" s="25"/>
      <c r="K494" s="1"/>
      <c r="L494" s="1"/>
      <c r="M494" s="1"/>
      <c r="N494" s="25"/>
      <c r="O494" s="25"/>
      <c r="P494" s="24"/>
      <c r="Q494" s="1"/>
      <c r="S494" s="24"/>
      <c r="T494" s="1"/>
      <c r="U494" s="1"/>
      <c r="V494" s="24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24"/>
      <c r="G495" s="1"/>
      <c r="H495" s="1"/>
      <c r="I495" s="1"/>
      <c r="J495" s="25"/>
      <c r="K495" s="1"/>
      <c r="L495" s="1"/>
      <c r="M495" s="1"/>
      <c r="N495" s="25"/>
      <c r="O495" s="25"/>
      <c r="P495" s="24"/>
      <c r="Q495" s="1"/>
      <c r="S495" s="24"/>
      <c r="T495" s="1"/>
      <c r="U495" s="1"/>
      <c r="V495" s="24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24"/>
      <c r="G496" s="1"/>
      <c r="H496" s="1"/>
      <c r="I496" s="1"/>
      <c r="J496" s="25"/>
      <c r="K496" s="1"/>
      <c r="L496" s="1"/>
      <c r="M496" s="1"/>
      <c r="N496" s="25"/>
      <c r="O496" s="25"/>
      <c r="P496" s="24"/>
      <c r="Q496" s="1"/>
      <c r="S496" s="24"/>
      <c r="T496" s="1"/>
      <c r="U496" s="1"/>
      <c r="V496" s="24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24"/>
      <c r="G497" s="1"/>
      <c r="H497" s="1"/>
      <c r="I497" s="1"/>
      <c r="J497" s="25"/>
      <c r="K497" s="1"/>
      <c r="L497" s="1"/>
      <c r="M497" s="1"/>
      <c r="N497" s="25"/>
      <c r="O497" s="25"/>
      <c r="P497" s="24"/>
      <c r="Q497" s="1"/>
      <c r="S497" s="24"/>
      <c r="T497" s="1"/>
      <c r="U497" s="1"/>
      <c r="V497" s="24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24"/>
      <c r="G498" s="1"/>
      <c r="H498" s="1"/>
      <c r="I498" s="1"/>
      <c r="J498" s="25"/>
      <c r="K498" s="1"/>
      <c r="L498" s="1"/>
      <c r="M498" s="1"/>
      <c r="N498" s="25"/>
      <c r="O498" s="25"/>
      <c r="P498" s="24"/>
      <c r="Q498" s="1"/>
      <c r="S498" s="24"/>
      <c r="T498" s="1"/>
      <c r="U498" s="1"/>
      <c r="V498" s="24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24"/>
      <c r="G499" s="1"/>
      <c r="H499" s="1"/>
      <c r="I499" s="1"/>
      <c r="J499" s="25"/>
      <c r="K499" s="1"/>
      <c r="L499" s="1"/>
      <c r="M499" s="1"/>
      <c r="N499" s="25"/>
      <c r="O499" s="25"/>
      <c r="P499" s="24"/>
      <c r="Q499" s="1"/>
      <c r="S499" s="24"/>
      <c r="T499" s="1"/>
      <c r="U499" s="1"/>
      <c r="V499" s="24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24"/>
      <c r="G500" s="1"/>
      <c r="H500" s="1"/>
      <c r="I500" s="1"/>
      <c r="J500" s="25"/>
      <c r="K500" s="1"/>
      <c r="L500" s="1"/>
      <c r="M500" s="1"/>
      <c r="N500" s="25"/>
      <c r="O500" s="25"/>
      <c r="P500" s="24"/>
      <c r="Q500" s="1"/>
      <c r="S500" s="24"/>
      <c r="T500" s="1"/>
      <c r="U500" s="1"/>
      <c r="V500" s="24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24"/>
      <c r="G501" s="1"/>
      <c r="H501" s="1"/>
      <c r="I501" s="1"/>
      <c r="J501" s="25"/>
      <c r="K501" s="1"/>
      <c r="L501" s="1"/>
      <c r="M501" s="1"/>
      <c r="N501" s="25"/>
      <c r="O501" s="25"/>
      <c r="P501" s="24"/>
      <c r="Q501" s="1"/>
      <c r="S501" s="24"/>
      <c r="T501" s="1"/>
      <c r="U501" s="1"/>
      <c r="V501" s="24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24"/>
      <c r="G502" s="1"/>
      <c r="H502" s="1"/>
      <c r="I502" s="1"/>
      <c r="J502" s="25"/>
      <c r="K502" s="1"/>
      <c r="L502" s="1"/>
      <c r="M502" s="1"/>
      <c r="N502" s="25"/>
      <c r="O502" s="25"/>
      <c r="P502" s="24"/>
      <c r="Q502" s="1"/>
      <c r="S502" s="24"/>
      <c r="T502" s="1"/>
      <c r="U502" s="1"/>
      <c r="V502" s="24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24"/>
      <c r="G503" s="1"/>
      <c r="H503" s="1"/>
      <c r="I503" s="1"/>
      <c r="J503" s="25"/>
      <c r="K503" s="1"/>
      <c r="L503" s="1"/>
      <c r="M503" s="1"/>
      <c r="N503" s="25"/>
      <c r="O503" s="25"/>
      <c r="P503" s="24"/>
      <c r="Q503" s="1"/>
      <c r="S503" s="24"/>
      <c r="T503" s="1"/>
      <c r="U503" s="1"/>
      <c r="V503" s="24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24"/>
      <c r="G504" s="1"/>
      <c r="H504" s="1"/>
      <c r="I504" s="1"/>
      <c r="J504" s="25"/>
      <c r="K504" s="1"/>
      <c r="L504" s="1"/>
      <c r="M504" s="1"/>
      <c r="N504" s="25"/>
      <c r="O504" s="25"/>
      <c r="P504" s="24"/>
      <c r="Q504" s="1"/>
      <c r="S504" s="24"/>
      <c r="T504" s="1"/>
      <c r="U504" s="1"/>
      <c r="V504" s="24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24"/>
      <c r="G505" s="1"/>
      <c r="H505" s="1"/>
      <c r="I505" s="1"/>
      <c r="J505" s="25"/>
      <c r="K505" s="1"/>
      <c r="L505" s="1"/>
      <c r="M505" s="1"/>
      <c r="N505" s="25"/>
      <c r="O505" s="25"/>
      <c r="P505" s="24"/>
      <c r="Q505" s="1"/>
      <c r="S505" s="24"/>
      <c r="T505" s="1"/>
      <c r="U505" s="1"/>
      <c r="V505" s="24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24"/>
      <c r="G506" s="1"/>
      <c r="H506" s="1"/>
      <c r="I506" s="1"/>
      <c r="J506" s="25"/>
      <c r="K506" s="1"/>
      <c r="L506" s="1"/>
      <c r="M506" s="1"/>
      <c r="N506" s="25"/>
      <c r="O506" s="25"/>
      <c r="P506" s="24"/>
      <c r="Q506" s="1"/>
      <c r="S506" s="24"/>
      <c r="T506" s="1"/>
      <c r="U506" s="1"/>
      <c r="V506" s="24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24"/>
      <c r="G507" s="1"/>
      <c r="H507" s="1"/>
      <c r="I507" s="1"/>
      <c r="J507" s="25"/>
      <c r="K507" s="1"/>
      <c r="L507" s="1"/>
      <c r="M507" s="1"/>
      <c r="N507" s="25"/>
      <c r="O507" s="25"/>
      <c r="P507" s="24"/>
      <c r="Q507" s="1"/>
      <c r="S507" s="24"/>
      <c r="T507" s="1"/>
      <c r="U507" s="1"/>
      <c r="V507" s="24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24"/>
      <c r="G508" s="1"/>
      <c r="H508" s="1"/>
      <c r="I508" s="1"/>
      <c r="J508" s="25"/>
      <c r="K508" s="1"/>
      <c r="L508" s="1"/>
      <c r="M508" s="1"/>
      <c r="N508" s="25"/>
      <c r="O508" s="25"/>
      <c r="P508" s="24"/>
      <c r="Q508" s="1"/>
      <c r="S508" s="24"/>
      <c r="T508" s="1"/>
      <c r="U508" s="1"/>
      <c r="V508" s="24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24"/>
      <c r="G509" s="1"/>
      <c r="H509" s="1"/>
      <c r="I509" s="1"/>
      <c r="J509" s="25"/>
      <c r="K509" s="1"/>
      <c r="L509" s="1"/>
      <c r="M509" s="1"/>
      <c r="N509" s="25"/>
      <c r="O509" s="25"/>
      <c r="P509" s="24"/>
      <c r="Q509" s="1"/>
      <c r="S509" s="24"/>
      <c r="T509" s="1"/>
      <c r="U509" s="1"/>
      <c r="V509" s="24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24"/>
      <c r="G510" s="1"/>
      <c r="H510" s="1"/>
      <c r="I510" s="1"/>
      <c r="J510" s="25"/>
      <c r="K510" s="1"/>
      <c r="L510" s="1"/>
      <c r="M510" s="1"/>
      <c r="N510" s="25"/>
      <c r="O510" s="25"/>
      <c r="P510" s="24"/>
      <c r="Q510" s="1"/>
      <c r="S510" s="24"/>
      <c r="T510" s="1"/>
      <c r="U510" s="1"/>
      <c r="V510" s="24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24"/>
      <c r="G511" s="1"/>
      <c r="H511" s="1"/>
      <c r="I511" s="1"/>
      <c r="J511" s="25"/>
      <c r="K511" s="1"/>
      <c r="L511" s="1"/>
      <c r="M511" s="1"/>
      <c r="N511" s="25"/>
      <c r="O511" s="25"/>
      <c r="P511" s="24"/>
      <c r="Q511" s="1"/>
      <c r="S511" s="24"/>
      <c r="T511" s="1"/>
      <c r="U511" s="1"/>
      <c r="V511" s="24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24"/>
      <c r="G512" s="1"/>
      <c r="H512" s="1"/>
      <c r="I512" s="1"/>
      <c r="J512" s="25"/>
      <c r="K512" s="1"/>
      <c r="L512" s="1"/>
      <c r="M512" s="1"/>
      <c r="N512" s="25"/>
      <c r="O512" s="25"/>
      <c r="P512" s="24"/>
      <c r="Q512" s="1"/>
      <c r="S512" s="24"/>
      <c r="T512" s="1"/>
      <c r="U512" s="1"/>
      <c r="V512" s="24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24"/>
      <c r="G513" s="1"/>
      <c r="H513" s="1"/>
      <c r="I513" s="1"/>
      <c r="J513" s="25"/>
      <c r="K513" s="1"/>
      <c r="L513" s="1"/>
      <c r="M513" s="1"/>
      <c r="N513" s="25"/>
      <c r="O513" s="25"/>
      <c r="P513" s="24"/>
      <c r="Q513" s="1"/>
      <c r="S513" s="24"/>
      <c r="T513" s="1"/>
      <c r="U513" s="1"/>
      <c r="V513" s="24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24"/>
      <c r="G514" s="1"/>
      <c r="H514" s="1"/>
      <c r="I514" s="1"/>
      <c r="J514" s="25"/>
      <c r="K514" s="1"/>
      <c r="L514" s="1"/>
      <c r="M514" s="1"/>
      <c r="N514" s="25"/>
      <c r="O514" s="25"/>
      <c r="P514" s="24"/>
      <c r="Q514" s="1"/>
      <c r="S514" s="24"/>
      <c r="T514" s="1"/>
      <c r="U514" s="1"/>
      <c r="V514" s="24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24"/>
      <c r="G515" s="1"/>
      <c r="H515" s="1"/>
      <c r="I515" s="1"/>
      <c r="J515" s="25"/>
      <c r="K515" s="1"/>
      <c r="L515" s="1"/>
      <c r="M515" s="1"/>
      <c r="N515" s="25"/>
      <c r="O515" s="25"/>
      <c r="P515" s="24"/>
      <c r="Q515" s="1"/>
      <c r="S515" s="24"/>
      <c r="T515" s="1"/>
      <c r="U515" s="1"/>
      <c r="V515" s="24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24"/>
      <c r="G516" s="1"/>
      <c r="H516" s="1"/>
      <c r="I516" s="1"/>
      <c r="J516" s="25"/>
      <c r="K516" s="1"/>
      <c r="L516" s="1"/>
      <c r="M516" s="1"/>
      <c r="N516" s="25"/>
      <c r="O516" s="25"/>
      <c r="P516" s="24"/>
      <c r="Q516" s="1"/>
      <c r="S516" s="24"/>
      <c r="T516" s="1"/>
      <c r="U516" s="1"/>
      <c r="V516" s="24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24"/>
      <c r="G517" s="1"/>
      <c r="H517" s="1"/>
      <c r="I517" s="1"/>
      <c r="J517" s="25"/>
      <c r="K517" s="1"/>
      <c r="L517" s="1"/>
      <c r="M517" s="1"/>
      <c r="N517" s="25"/>
      <c r="O517" s="25"/>
      <c r="P517" s="24"/>
      <c r="Q517" s="1"/>
      <c r="S517" s="24"/>
      <c r="T517" s="1"/>
      <c r="U517" s="1"/>
      <c r="V517" s="24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24"/>
      <c r="G518" s="1"/>
      <c r="H518" s="1"/>
      <c r="I518" s="1"/>
      <c r="J518" s="25"/>
      <c r="K518" s="1"/>
      <c r="L518" s="1"/>
      <c r="M518" s="1"/>
      <c r="N518" s="25"/>
      <c r="O518" s="25"/>
      <c r="P518" s="24"/>
      <c r="Q518" s="1"/>
      <c r="S518" s="24"/>
      <c r="T518" s="1"/>
      <c r="U518" s="1"/>
      <c r="V518" s="24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24"/>
      <c r="G519" s="1"/>
      <c r="H519" s="1"/>
      <c r="I519" s="1"/>
      <c r="J519" s="25"/>
      <c r="K519" s="1"/>
      <c r="L519" s="1"/>
      <c r="M519" s="1"/>
      <c r="N519" s="25"/>
      <c r="O519" s="25"/>
      <c r="P519" s="24"/>
      <c r="Q519" s="1"/>
      <c r="S519" s="24"/>
      <c r="T519" s="1"/>
      <c r="U519" s="1"/>
      <c r="V519" s="24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24"/>
      <c r="G520" s="1"/>
      <c r="H520" s="1"/>
      <c r="I520" s="1"/>
      <c r="J520" s="25"/>
      <c r="K520" s="1"/>
      <c r="L520" s="1"/>
      <c r="M520" s="1"/>
      <c r="N520" s="25"/>
      <c r="O520" s="25"/>
      <c r="P520" s="24"/>
      <c r="Q520" s="1"/>
      <c r="S520" s="24"/>
      <c r="T520" s="1"/>
      <c r="U520" s="1"/>
      <c r="V520" s="24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24"/>
      <c r="G521" s="1"/>
      <c r="H521" s="1"/>
      <c r="I521" s="1"/>
      <c r="J521" s="25"/>
      <c r="K521" s="1"/>
      <c r="L521" s="1"/>
      <c r="M521" s="1"/>
      <c r="N521" s="25"/>
      <c r="O521" s="25"/>
      <c r="P521" s="24"/>
      <c r="Q521" s="1"/>
      <c r="S521" s="24"/>
      <c r="T521" s="1"/>
      <c r="U521" s="1"/>
      <c r="V521" s="24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24"/>
      <c r="G522" s="1"/>
      <c r="H522" s="1"/>
      <c r="I522" s="1"/>
      <c r="J522" s="25"/>
      <c r="K522" s="1"/>
      <c r="L522" s="1"/>
      <c r="M522" s="1"/>
      <c r="N522" s="25"/>
      <c r="O522" s="25"/>
      <c r="P522" s="24"/>
      <c r="Q522" s="1"/>
      <c r="S522" s="24"/>
      <c r="T522" s="1"/>
      <c r="U522" s="1"/>
      <c r="V522" s="24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24"/>
      <c r="G523" s="1"/>
      <c r="H523" s="1"/>
      <c r="I523" s="1"/>
      <c r="J523" s="25"/>
      <c r="K523" s="1"/>
      <c r="L523" s="1"/>
      <c r="M523" s="1"/>
      <c r="N523" s="25"/>
      <c r="O523" s="25"/>
      <c r="P523" s="24"/>
      <c r="Q523" s="1"/>
      <c r="S523" s="24"/>
      <c r="T523" s="1"/>
      <c r="U523" s="1"/>
      <c r="V523" s="24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24"/>
      <c r="G524" s="1"/>
      <c r="H524" s="1"/>
      <c r="I524" s="1"/>
      <c r="J524" s="25"/>
      <c r="K524" s="1"/>
      <c r="L524" s="1"/>
      <c r="M524" s="1"/>
      <c r="N524" s="25"/>
      <c r="O524" s="25"/>
      <c r="P524" s="24"/>
      <c r="Q524" s="1"/>
      <c r="S524" s="24"/>
      <c r="T524" s="1"/>
      <c r="U524" s="1"/>
      <c r="V524" s="24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24"/>
      <c r="G525" s="1"/>
      <c r="H525" s="1"/>
      <c r="I525" s="1"/>
      <c r="J525" s="25"/>
      <c r="K525" s="1"/>
      <c r="L525" s="1"/>
      <c r="M525" s="1"/>
      <c r="N525" s="25"/>
      <c r="O525" s="25"/>
      <c r="P525" s="24"/>
      <c r="Q525" s="1"/>
      <c r="S525" s="24"/>
      <c r="T525" s="1"/>
      <c r="U525" s="1"/>
      <c r="V525" s="24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24"/>
      <c r="G526" s="1"/>
      <c r="H526" s="1"/>
      <c r="I526" s="1"/>
      <c r="J526" s="25"/>
      <c r="K526" s="1"/>
      <c r="L526" s="1"/>
      <c r="M526" s="1"/>
      <c r="N526" s="25"/>
      <c r="O526" s="25"/>
      <c r="P526" s="24"/>
      <c r="Q526" s="1"/>
      <c r="S526" s="24"/>
      <c r="T526" s="1"/>
      <c r="U526" s="1"/>
      <c r="V526" s="24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24"/>
      <c r="G527" s="1"/>
      <c r="H527" s="1"/>
      <c r="I527" s="1"/>
      <c r="J527" s="25"/>
      <c r="K527" s="1"/>
      <c r="L527" s="1"/>
      <c r="M527" s="1"/>
      <c r="N527" s="25"/>
      <c r="O527" s="25"/>
      <c r="P527" s="24"/>
      <c r="Q527" s="1"/>
      <c r="S527" s="24"/>
      <c r="T527" s="1"/>
      <c r="U527" s="1"/>
      <c r="V527" s="24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24"/>
      <c r="G528" s="1"/>
      <c r="H528" s="1"/>
      <c r="I528" s="1"/>
      <c r="J528" s="25"/>
      <c r="K528" s="1"/>
      <c r="L528" s="1"/>
      <c r="M528" s="1"/>
      <c r="N528" s="25"/>
      <c r="O528" s="25"/>
      <c r="P528" s="24"/>
      <c r="Q528" s="1"/>
      <c r="S528" s="24"/>
      <c r="T528" s="1"/>
      <c r="U528" s="1"/>
      <c r="V528" s="24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24"/>
      <c r="G529" s="1"/>
      <c r="H529" s="1"/>
      <c r="I529" s="1"/>
      <c r="J529" s="25"/>
      <c r="K529" s="1"/>
      <c r="L529" s="1"/>
      <c r="M529" s="1"/>
      <c r="N529" s="25"/>
      <c r="O529" s="25"/>
      <c r="P529" s="24"/>
      <c r="Q529" s="1"/>
      <c r="S529" s="24"/>
      <c r="T529" s="1"/>
      <c r="U529" s="1"/>
      <c r="V529" s="24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24"/>
      <c r="G530" s="1"/>
      <c r="H530" s="1"/>
      <c r="I530" s="1"/>
      <c r="J530" s="25"/>
      <c r="K530" s="1"/>
      <c r="L530" s="1"/>
      <c r="M530" s="1"/>
      <c r="N530" s="25"/>
      <c r="O530" s="25"/>
      <c r="P530" s="24"/>
      <c r="Q530" s="1"/>
      <c r="S530" s="24"/>
      <c r="T530" s="1"/>
      <c r="U530" s="1"/>
      <c r="V530" s="24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24"/>
      <c r="G531" s="1"/>
      <c r="H531" s="1"/>
      <c r="I531" s="1"/>
      <c r="J531" s="25"/>
      <c r="K531" s="1"/>
      <c r="L531" s="1"/>
      <c r="M531" s="1"/>
      <c r="N531" s="25"/>
      <c r="O531" s="25"/>
      <c r="P531" s="24"/>
      <c r="Q531" s="1"/>
      <c r="S531" s="24"/>
      <c r="T531" s="1"/>
      <c r="U531" s="1"/>
      <c r="V531" s="24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24"/>
      <c r="G532" s="1"/>
      <c r="H532" s="1"/>
      <c r="I532" s="1"/>
      <c r="J532" s="25"/>
      <c r="K532" s="1"/>
      <c r="L532" s="1"/>
      <c r="M532" s="1"/>
      <c r="N532" s="25"/>
      <c r="O532" s="25"/>
      <c r="P532" s="24"/>
      <c r="Q532" s="1"/>
      <c r="S532" s="24"/>
      <c r="T532" s="1"/>
      <c r="U532" s="1"/>
      <c r="V532" s="24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24"/>
      <c r="G533" s="1"/>
      <c r="H533" s="1"/>
      <c r="I533" s="1"/>
      <c r="J533" s="25"/>
      <c r="K533" s="1"/>
      <c r="L533" s="1"/>
      <c r="M533" s="1"/>
      <c r="N533" s="25"/>
      <c r="O533" s="25"/>
      <c r="P533" s="24"/>
      <c r="Q533" s="1"/>
      <c r="S533" s="24"/>
      <c r="T533" s="1"/>
      <c r="U533" s="1"/>
      <c r="V533" s="24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24"/>
      <c r="G534" s="1"/>
      <c r="H534" s="1"/>
      <c r="I534" s="1"/>
      <c r="J534" s="25"/>
      <c r="K534" s="1"/>
      <c r="L534" s="1"/>
      <c r="M534" s="1"/>
      <c r="N534" s="25"/>
      <c r="O534" s="25"/>
      <c r="P534" s="24"/>
      <c r="Q534" s="1"/>
      <c r="S534" s="24"/>
      <c r="T534" s="1"/>
      <c r="U534" s="1"/>
      <c r="V534" s="24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24"/>
      <c r="G535" s="1"/>
      <c r="H535" s="1"/>
      <c r="I535" s="1"/>
      <c r="J535" s="25"/>
      <c r="K535" s="1"/>
      <c r="L535" s="1"/>
      <c r="M535" s="1"/>
      <c r="N535" s="25"/>
      <c r="O535" s="25"/>
      <c r="P535" s="24"/>
      <c r="Q535" s="1"/>
      <c r="S535" s="24"/>
      <c r="T535" s="1"/>
      <c r="U535" s="1"/>
      <c r="V535" s="24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24"/>
      <c r="G536" s="1"/>
      <c r="H536" s="1"/>
      <c r="I536" s="1"/>
      <c r="J536" s="25"/>
      <c r="K536" s="1"/>
      <c r="L536" s="1"/>
      <c r="M536" s="1"/>
      <c r="N536" s="25"/>
      <c r="O536" s="25"/>
      <c r="P536" s="24"/>
      <c r="Q536" s="1"/>
      <c r="S536" s="24"/>
      <c r="T536" s="1"/>
      <c r="U536" s="1"/>
      <c r="V536" s="24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24"/>
      <c r="G537" s="1"/>
      <c r="H537" s="1"/>
      <c r="I537" s="1"/>
      <c r="J537" s="25"/>
      <c r="K537" s="1"/>
      <c r="L537" s="1"/>
      <c r="M537" s="1"/>
      <c r="N537" s="25"/>
      <c r="O537" s="25"/>
      <c r="P537" s="24"/>
      <c r="Q537" s="1"/>
      <c r="S537" s="24"/>
      <c r="T537" s="1"/>
      <c r="U537" s="1"/>
      <c r="V537" s="24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24"/>
      <c r="G538" s="1"/>
      <c r="H538" s="1"/>
      <c r="I538" s="1"/>
      <c r="J538" s="25"/>
      <c r="K538" s="1"/>
      <c r="L538" s="1"/>
      <c r="M538" s="1"/>
      <c r="N538" s="25"/>
      <c r="O538" s="25"/>
      <c r="P538" s="24"/>
      <c r="Q538" s="1"/>
      <c r="S538" s="24"/>
      <c r="T538" s="1"/>
      <c r="U538" s="1"/>
      <c r="V538" s="24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24"/>
      <c r="G539" s="1"/>
      <c r="H539" s="1"/>
      <c r="I539" s="1"/>
      <c r="J539" s="25"/>
      <c r="K539" s="1"/>
      <c r="L539" s="1"/>
      <c r="M539" s="1"/>
      <c r="N539" s="25"/>
      <c r="O539" s="25"/>
      <c r="P539" s="24"/>
      <c r="Q539" s="1"/>
      <c r="S539" s="24"/>
      <c r="T539" s="1"/>
      <c r="U539" s="1"/>
      <c r="V539" s="24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24"/>
      <c r="G540" s="1"/>
      <c r="H540" s="1"/>
      <c r="I540" s="1"/>
      <c r="J540" s="25"/>
      <c r="K540" s="1"/>
      <c r="L540" s="1"/>
      <c r="M540" s="1"/>
      <c r="N540" s="25"/>
      <c r="O540" s="25"/>
      <c r="P540" s="24"/>
      <c r="Q540" s="1"/>
      <c r="S540" s="24"/>
      <c r="T540" s="1"/>
      <c r="U540" s="1"/>
      <c r="V540" s="24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24"/>
      <c r="G541" s="1"/>
      <c r="H541" s="1"/>
      <c r="I541" s="1"/>
      <c r="J541" s="25"/>
      <c r="K541" s="1"/>
      <c r="L541" s="1"/>
      <c r="M541" s="1"/>
      <c r="N541" s="25"/>
      <c r="O541" s="25"/>
      <c r="P541" s="24"/>
      <c r="Q541" s="1"/>
      <c r="S541" s="24"/>
      <c r="T541" s="1"/>
      <c r="U541" s="1"/>
      <c r="V541" s="24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24"/>
      <c r="G542" s="1"/>
      <c r="H542" s="1"/>
      <c r="I542" s="1"/>
      <c r="J542" s="25"/>
      <c r="K542" s="1"/>
      <c r="L542" s="1"/>
      <c r="M542" s="1"/>
      <c r="N542" s="25"/>
      <c r="O542" s="25"/>
      <c r="P542" s="24"/>
      <c r="Q542" s="1"/>
      <c r="S542" s="24"/>
      <c r="T542" s="1"/>
      <c r="U542" s="1"/>
      <c r="V542" s="24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24"/>
      <c r="G543" s="1"/>
      <c r="H543" s="1"/>
      <c r="I543" s="1"/>
      <c r="J543" s="25"/>
      <c r="K543" s="1"/>
      <c r="L543" s="1"/>
      <c r="M543" s="1"/>
      <c r="N543" s="25"/>
      <c r="O543" s="25"/>
      <c r="P543" s="24"/>
      <c r="Q543" s="1"/>
      <c r="S543" s="24"/>
      <c r="T543" s="1"/>
      <c r="U543" s="1"/>
      <c r="V543" s="24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24"/>
      <c r="G544" s="1"/>
      <c r="H544" s="1"/>
      <c r="I544" s="1"/>
      <c r="J544" s="25"/>
      <c r="K544" s="1"/>
      <c r="L544" s="1"/>
      <c r="M544" s="1"/>
      <c r="N544" s="25"/>
      <c r="O544" s="25"/>
      <c r="P544" s="24"/>
      <c r="Q544" s="1"/>
      <c r="S544" s="24"/>
      <c r="T544" s="1"/>
      <c r="U544" s="1"/>
      <c r="V544" s="24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24"/>
      <c r="G545" s="1"/>
      <c r="H545" s="1"/>
      <c r="I545" s="1"/>
      <c r="J545" s="25"/>
      <c r="K545" s="1"/>
      <c r="L545" s="1"/>
      <c r="M545" s="1"/>
      <c r="N545" s="25"/>
      <c r="O545" s="25"/>
      <c r="P545" s="24"/>
      <c r="Q545" s="1"/>
      <c r="S545" s="24"/>
      <c r="T545" s="1"/>
      <c r="U545" s="1"/>
      <c r="V545" s="24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24"/>
      <c r="G546" s="1"/>
      <c r="H546" s="1"/>
      <c r="I546" s="1"/>
      <c r="J546" s="25"/>
      <c r="K546" s="1"/>
      <c r="L546" s="1"/>
      <c r="M546" s="1"/>
      <c r="N546" s="25"/>
      <c r="O546" s="25"/>
      <c r="P546" s="24"/>
      <c r="Q546" s="1"/>
      <c r="S546" s="24"/>
      <c r="T546" s="1"/>
      <c r="U546" s="1"/>
      <c r="V546" s="24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24"/>
      <c r="G547" s="1"/>
      <c r="H547" s="1"/>
      <c r="I547" s="1"/>
      <c r="J547" s="25"/>
      <c r="K547" s="1"/>
      <c r="L547" s="1"/>
      <c r="M547" s="1"/>
      <c r="N547" s="25"/>
      <c r="O547" s="25"/>
      <c r="P547" s="24"/>
      <c r="Q547" s="1"/>
      <c r="S547" s="24"/>
      <c r="T547" s="1"/>
      <c r="U547" s="1"/>
      <c r="V547" s="24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24"/>
      <c r="G548" s="1"/>
      <c r="H548" s="1"/>
      <c r="I548" s="1"/>
      <c r="J548" s="25"/>
      <c r="K548" s="1"/>
      <c r="L548" s="1"/>
      <c r="M548" s="1"/>
      <c r="N548" s="25"/>
      <c r="O548" s="25"/>
      <c r="P548" s="24"/>
      <c r="Q548" s="1"/>
      <c r="S548" s="24"/>
      <c r="T548" s="1"/>
      <c r="U548" s="1"/>
      <c r="V548" s="24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24"/>
      <c r="G549" s="1"/>
      <c r="H549" s="1"/>
      <c r="I549" s="1"/>
      <c r="J549" s="25"/>
      <c r="K549" s="1"/>
      <c r="L549" s="1"/>
      <c r="M549" s="1"/>
      <c r="N549" s="25"/>
      <c r="O549" s="25"/>
      <c r="P549" s="24"/>
      <c r="Q549" s="1"/>
      <c r="S549" s="24"/>
      <c r="T549" s="1"/>
      <c r="U549" s="1"/>
      <c r="V549" s="24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24"/>
      <c r="G550" s="1"/>
      <c r="H550" s="1"/>
      <c r="I550" s="1"/>
      <c r="J550" s="25"/>
      <c r="K550" s="1"/>
      <c r="L550" s="1"/>
      <c r="M550" s="1"/>
      <c r="N550" s="25"/>
      <c r="O550" s="25"/>
      <c r="P550" s="24"/>
      <c r="Q550" s="1"/>
      <c r="S550" s="24"/>
      <c r="T550" s="1"/>
      <c r="U550" s="1"/>
      <c r="V550" s="24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24"/>
      <c r="G551" s="1"/>
      <c r="H551" s="1"/>
      <c r="I551" s="1"/>
      <c r="J551" s="25"/>
      <c r="K551" s="1"/>
      <c r="L551" s="1"/>
      <c r="M551" s="1"/>
      <c r="N551" s="25"/>
      <c r="O551" s="25"/>
      <c r="P551" s="24"/>
      <c r="Q551" s="1"/>
      <c r="S551" s="24"/>
      <c r="T551" s="1"/>
      <c r="U551" s="1"/>
      <c r="V551" s="24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24"/>
      <c r="G552" s="1"/>
      <c r="H552" s="1"/>
      <c r="I552" s="1"/>
      <c r="J552" s="25"/>
      <c r="K552" s="1"/>
      <c r="L552" s="1"/>
      <c r="M552" s="1"/>
      <c r="N552" s="25"/>
      <c r="O552" s="25"/>
      <c r="P552" s="24"/>
      <c r="Q552" s="1"/>
      <c r="S552" s="24"/>
      <c r="T552" s="1"/>
      <c r="U552" s="1"/>
      <c r="V552" s="24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24"/>
      <c r="G553" s="1"/>
      <c r="H553" s="1"/>
      <c r="I553" s="1"/>
      <c r="J553" s="25"/>
      <c r="K553" s="1"/>
      <c r="L553" s="1"/>
      <c r="M553" s="1"/>
      <c r="N553" s="25"/>
      <c r="O553" s="25"/>
      <c r="P553" s="24"/>
      <c r="Q553" s="1"/>
      <c r="S553" s="24"/>
      <c r="T553" s="1"/>
      <c r="U553" s="1"/>
      <c r="V553" s="24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24"/>
      <c r="G554" s="1"/>
      <c r="H554" s="1"/>
      <c r="I554" s="1"/>
      <c r="J554" s="25"/>
      <c r="K554" s="1"/>
      <c r="L554" s="1"/>
      <c r="M554" s="1"/>
      <c r="N554" s="25"/>
      <c r="O554" s="25"/>
      <c r="P554" s="24"/>
      <c r="Q554" s="1"/>
      <c r="S554" s="24"/>
      <c r="T554" s="1"/>
      <c r="U554" s="1"/>
      <c r="V554" s="24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24"/>
      <c r="G555" s="1"/>
      <c r="H555" s="1"/>
      <c r="I555" s="1"/>
      <c r="J555" s="25"/>
      <c r="K555" s="1"/>
      <c r="L555" s="1"/>
      <c r="M555" s="1"/>
      <c r="N555" s="25"/>
      <c r="O555" s="25"/>
      <c r="P555" s="24"/>
      <c r="Q555" s="1"/>
      <c r="S555" s="24"/>
      <c r="T555" s="1"/>
      <c r="U555" s="1"/>
      <c r="V555" s="24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24"/>
      <c r="G556" s="1"/>
      <c r="H556" s="1"/>
      <c r="I556" s="1"/>
      <c r="J556" s="25"/>
      <c r="K556" s="1"/>
      <c r="L556" s="1"/>
      <c r="M556" s="1"/>
      <c r="N556" s="25"/>
      <c r="O556" s="25"/>
      <c r="P556" s="24"/>
      <c r="Q556" s="1"/>
      <c r="S556" s="24"/>
      <c r="T556" s="1"/>
      <c r="U556" s="1"/>
      <c r="V556" s="24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24"/>
      <c r="G557" s="1"/>
      <c r="H557" s="1"/>
      <c r="I557" s="1"/>
      <c r="J557" s="25"/>
      <c r="K557" s="1"/>
      <c r="L557" s="1"/>
      <c r="M557" s="1"/>
      <c r="N557" s="25"/>
      <c r="O557" s="25"/>
      <c r="P557" s="24"/>
      <c r="Q557" s="1"/>
      <c r="S557" s="24"/>
      <c r="T557" s="1"/>
      <c r="U557" s="1"/>
      <c r="V557" s="24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24"/>
      <c r="G558" s="1"/>
      <c r="H558" s="1"/>
      <c r="I558" s="1"/>
      <c r="J558" s="25"/>
      <c r="K558" s="1"/>
      <c r="L558" s="1"/>
      <c r="M558" s="1"/>
      <c r="N558" s="25"/>
      <c r="O558" s="25"/>
      <c r="P558" s="24"/>
      <c r="Q558" s="1"/>
      <c r="S558" s="24"/>
      <c r="T558" s="1"/>
      <c r="U558" s="1"/>
      <c r="V558" s="24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24"/>
      <c r="G559" s="1"/>
      <c r="H559" s="1"/>
      <c r="I559" s="1"/>
      <c r="J559" s="25"/>
      <c r="K559" s="1"/>
      <c r="L559" s="1"/>
      <c r="M559" s="1"/>
      <c r="N559" s="25"/>
      <c r="O559" s="25"/>
      <c r="P559" s="24"/>
      <c r="Q559" s="1"/>
      <c r="S559" s="24"/>
      <c r="T559" s="1"/>
      <c r="U559" s="1"/>
      <c r="V559" s="24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24"/>
      <c r="G560" s="1"/>
      <c r="H560" s="1"/>
      <c r="I560" s="1"/>
      <c r="J560" s="25"/>
      <c r="K560" s="1"/>
      <c r="L560" s="1"/>
      <c r="M560" s="1"/>
      <c r="N560" s="25"/>
      <c r="O560" s="25"/>
      <c r="P560" s="24"/>
      <c r="Q560" s="1"/>
      <c r="S560" s="24"/>
      <c r="T560" s="1"/>
      <c r="U560" s="1"/>
      <c r="V560" s="24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24"/>
      <c r="G561" s="1"/>
      <c r="H561" s="1"/>
      <c r="I561" s="1"/>
      <c r="J561" s="25"/>
      <c r="K561" s="1"/>
      <c r="L561" s="1"/>
      <c r="M561" s="1"/>
      <c r="N561" s="25"/>
      <c r="O561" s="25"/>
      <c r="P561" s="24"/>
      <c r="Q561" s="1"/>
      <c r="S561" s="24"/>
      <c r="T561" s="1"/>
      <c r="U561" s="1"/>
      <c r="V561" s="24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24"/>
      <c r="G562" s="1"/>
      <c r="H562" s="1"/>
      <c r="I562" s="1"/>
      <c r="J562" s="25"/>
      <c r="K562" s="1"/>
      <c r="L562" s="1"/>
      <c r="M562" s="1"/>
      <c r="N562" s="25"/>
      <c r="O562" s="25"/>
      <c r="P562" s="24"/>
      <c r="Q562" s="1"/>
      <c r="S562" s="24"/>
      <c r="T562" s="1"/>
      <c r="U562" s="1"/>
      <c r="V562" s="24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24"/>
      <c r="G563" s="1"/>
      <c r="H563" s="1"/>
      <c r="I563" s="1"/>
      <c r="J563" s="25"/>
      <c r="K563" s="1"/>
      <c r="L563" s="1"/>
      <c r="M563" s="1"/>
      <c r="N563" s="25"/>
      <c r="O563" s="25"/>
      <c r="P563" s="24"/>
      <c r="Q563" s="1"/>
      <c r="S563" s="24"/>
      <c r="T563" s="1"/>
      <c r="U563" s="1"/>
      <c r="V563" s="24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24"/>
      <c r="G564" s="1"/>
      <c r="H564" s="1"/>
      <c r="I564" s="1"/>
      <c r="J564" s="25"/>
      <c r="K564" s="1"/>
      <c r="L564" s="1"/>
      <c r="M564" s="1"/>
      <c r="N564" s="25"/>
      <c r="O564" s="25"/>
      <c r="P564" s="24"/>
      <c r="Q564" s="1"/>
      <c r="S564" s="24"/>
      <c r="T564" s="1"/>
      <c r="U564" s="1"/>
      <c r="V564" s="24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24"/>
      <c r="G565" s="1"/>
      <c r="H565" s="1"/>
      <c r="I565" s="1"/>
      <c r="J565" s="25"/>
      <c r="K565" s="1"/>
      <c r="L565" s="1"/>
      <c r="M565" s="1"/>
      <c r="N565" s="25"/>
      <c r="O565" s="25"/>
      <c r="P565" s="24"/>
      <c r="Q565" s="1"/>
      <c r="S565" s="24"/>
      <c r="T565" s="1"/>
      <c r="U565" s="1"/>
      <c r="V565" s="24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24"/>
      <c r="G566" s="1"/>
      <c r="H566" s="1"/>
      <c r="I566" s="1"/>
      <c r="J566" s="25"/>
      <c r="K566" s="1"/>
      <c r="L566" s="1"/>
      <c r="M566" s="1"/>
      <c r="N566" s="25"/>
      <c r="O566" s="25"/>
      <c r="P566" s="24"/>
      <c r="Q566" s="1"/>
      <c r="S566" s="24"/>
      <c r="T566" s="1"/>
      <c r="U566" s="1"/>
      <c r="V566" s="24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24"/>
      <c r="G567" s="1"/>
      <c r="H567" s="1"/>
      <c r="I567" s="1"/>
      <c r="J567" s="25"/>
      <c r="K567" s="1"/>
      <c r="L567" s="1"/>
      <c r="M567" s="1"/>
      <c r="N567" s="25"/>
      <c r="O567" s="25"/>
      <c r="P567" s="24"/>
      <c r="Q567" s="1"/>
      <c r="S567" s="24"/>
      <c r="T567" s="1"/>
      <c r="U567" s="1"/>
      <c r="V567" s="24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24"/>
      <c r="G568" s="1"/>
      <c r="H568" s="1"/>
      <c r="I568" s="1"/>
      <c r="J568" s="25"/>
      <c r="K568" s="1"/>
      <c r="L568" s="1"/>
      <c r="M568" s="1"/>
      <c r="N568" s="25"/>
      <c r="O568" s="25"/>
      <c r="P568" s="24"/>
      <c r="Q568" s="1"/>
      <c r="S568" s="24"/>
      <c r="T568" s="1"/>
      <c r="U568" s="1"/>
      <c r="V568" s="24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24"/>
      <c r="G569" s="1"/>
      <c r="H569" s="1"/>
      <c r="I569" s="1"/>
      <c r="J569" s="25"/>
      <c r="K569" s="1"/>
      <c r="L569" s="1"/>
      <c r="M569" s="1"/>
      <c r="N569" s="25"/>
      <c r="O569" s="25"/>
      <c r="P569" s="24"/>
      <c r="Q569" s="1"/>
      <c r="S569" s="24"/>
      <c r="T569" s="1"/>
      <c r="U569" s="1"/>
      <c r="V569" s="24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24"/>
      <c r="G570" s="1"/>
      <c r="H570" s="1"/>
      <c r="I570" s="1"/>
      <c r="J570" s="25"/>
      <c r="K570" s="1"/>
      <c r="L570" s="1"/>
      <c r="M570" s="1"/>
      <c r="N570" s="25"/>
      <c r="O570" s="25"/>
      <c r="P570" s="24"/>
      <c r="Q570" s="1"/>
      <c r="S570" s="24"/>
      <c r="T570" s="1"/>
      <c r="U570" s="1"/>
      <c r="V570" s="24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24"/>
      <c r="G571" s="1"/>
      <c r="H571" s="1"/>
      <c r="I571" s="1"/>
      <c r="J571" s="25"/>
      <c r="K571" s="1"/>
      <c r="L571" s="1"/>
      <c r="M571" s="1"/>
      <c r="N571" s="25"/>
      <c r="O571" s="25"/>
      <c r="P571" s="24"/>
      <c r="Q571" s="1"/>
      <c r="S571" s="24"/>
      <c r="T571" s="1"/>
      <c r="U571" s="1"/>
      <c r="V571" s="24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24"/>
      <c r="G572" s="1"/>
      <c r="H572" s="1"/>
      <c r="I572" s="1"/>
      <c r="J572" s="25"/>
      <c r="K572" s="1"/>
      <c r="L572" s="1"/>
      <c r="M572" s="1"/>
      <c r="N572" s="25"/>
      <c r="O572" s="25"/>
      <c r="P572" s="24"/>
      <c r="Q572" s="1"/>
      <c r="S572" s="24"/>
      <c r="T572" s="1"/>
      <c r="U572" s="1"/>
      <c r="V572" s="24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24"/>
      <c r="G573" s="1"/>
      <c r="H573" s="1"/>
      <c r="I573" s="1"/>
      <c r="J573" s="25"/>
      <c r="K573" s="1"/>
      <c r="L573" s="1"/>
      <c r="M573" s="1"/>
      <c r="N573" s="25"/>
      <c r="O573" s="25"/>
      <c r="P573" s="24"/>
      <c r="Q573" s="1"/>
      <c r="S573" s="24"/>
      <c r="T573" s="1"/>
      <c r="U573" s="1"/>
      <c r="V573" s="24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24"/>
      <c r="G574" s="1"/>
      <c r="H574" s="1"/>
      <c r="I574" s="1"/>
      <c r="J574" s="25"/>
      <c r="K574" s="1"/>
      <c r="L574" s="1"/>
      <c r="M574" s="1"/>
      <c r="N574" s="25"/>
      <c r="O574" s="25"/>
      <c r="P574" s="24"/>
      <c r="Q574" s="1"/>
      <c r="S574" s="24"/>
      <c r="T574" s="1"/>
      <c r="U574" s="1"/>
      <c r="V574" s="24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24"/>
      <c r="G575" s="1"/>
      <c r="H575" s="1"/>
      <c r="I575" s="1"/>
      <c r="J575" s="25"/>
      <c r="K575" s="1"/>
      <c r="L575" s="1"/>
      <c r="M575" s="1"/>
      <c r="N575" s="25"/>
      <c r="O575" s="25"/>
      <c r="P575" s="24"/>
      <c r="Q575" s="1"/>
      <c r="S575" s="24"/>
      <c r="T575" s="1"/>
      <c r="U575" s="1"/>
      <c r="V575" s="24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24"/>
      <c r="G576" s="1"/>
      <c r="H576" s="1"/>
      <c r="I576" s="1"/>
      <c r="J576" s="25"/>
      <c r="K576" s="1"/>
      <c r="L576" s="1"/>
      <c r="M576" s="1"/>
      <c r="N576" s="25"/>
      <c r="O576" s="25"/>
      <c r="P576" s="24"/>
      <c r="Q576" s="1"/>
      <c r="S576" s="24"/>
      <c r="T576" s="1"/>
      <c r="U576" s="1"/>
      <c r="V576" s="24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24"/>
      <c r="G577" s="1"/>
      <c r="H577" s="1"/>
      <c r="I577" s="1"/>
      <c r="J577" s="25"/>
      <c r="K577" s="1"/>
      <c r="L577" s="1"/>
      <c r="M577" s="1"/>
      <c r="N577" s="25"/>
      <c r="O577" s="25"/>
      <c r="P577" s="24"/>
      <c r="Q577" s="1"/>
      <c r="S577" s="24"/>
      <c r="T577" s="1"/>
      <c r="U577" s="1"/>
      <c r="V577" s="24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24"/>
      <c r="G578" s="1"/>
      <c r="H578" s="1"/>
      <c r="I578" s="1"/>
      <c r="J578" s="25"/>
      <c r="K578" s="1"/>
      <c r="L578" s="1"/>
      <c r="M578" s="1"/>
      <c r="N578" s="25"/>
      <c r="O578" s="25"/>
      <c r="P578" s="24"/>
      <c r="Q578" s="1"/>
      <c r="S578" s="24"/>
      <c r="T578" s="1"/>
      <c r="U578" s="1"/>
      <c r="V578" s="24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24"/>
      <c r="G579" s="1"/>
      <c r="H579" s="1"/>
      <c r="I579" s="1"/>
      <c r="J579" s="25"/>
      <c r="K579" s="1"/>
      <c r="L579" s="1"/>
      <c r="M579" s="1"/>
      <c r="N579" s="25"/>
      <c r="O579" s="25"/>
      <c r="P579" s="24"/>
      <c r="Q579" s="1"/>
      <c r="S579" s="24"/>
      <c r="T579" s="1"/>
      <c r="U579" s="1"/>
      <c r="V579" s="24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24"/>
      <c r="G580" s="1"/>
      <c r="H580" s="1"/>
      <c r="I580" s="1"/>
      <c r="J580" s="25"/>
      <c r="K580" s="1"/>
      <c r="L580" s="1"/>
      <c r="M580" s="1"/>
      <c r="N580" s="25"/>
      <c r="O580" s="25"/>
      <c r="P580" s="24"/>
      <c r="Q580" s="1"/>
      <c r="S580" s="24"/>
      <c r="T580" s="1"/>
      <c r="U580" s="1"/>
      <c r="V580" s="24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24"/>
      <c r="G581" s="1"/>
      <c r="H581" s="1"/>
      <c r="I581" s="1"/>
      <c r="J581" s="25"/>
      <c r="K581" s="1"/>
      <c r="L581" s="1"/>
      <c r="M581" s="1"/>
      <c r="N581" s="25"/>
      <c r="O581" s="25"/>
      <c r="P581" s="24"/>
      <c r="Q581" s="1"/>
      <c r="S581" s="24"/>
      <c r="T581" s="1"/>
      <c r="U581" s="1"/>
      <c r="V581" s="24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24"/>
      <c r="G582" s="1"/>
      <c r="H582" s="1"/>
      <c r="I582" s="1"/>
      <c r="J582" s="25"/>
      <c r="K582" s="1"/>
      <c r="L582" s="1"/>
      <c r="M582" s="1"/>
      <c r="N582" s="25"/>
      <c r="O582" s="25"/>
      <c r="P582" s="24"/>
      <c r="Q582" s="1"/>
      <c r="S582" s="24"/>
      <c r="T582" s="1"/>
      <c r="U582" s="1"/>
      <c r="V582" s="24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24"/>
      <c r="G583" s="1"/>
      <c r="H583" s="1"/>
      <c r="I583" s="1"/>
      <c r="J583" s="25"/>
      <c r="K583" s="1"/>
      <c r="L583" s="1"/>
      <c r="M583" s="1"/>
      <c r="N583" s="25"/>
      <c r="O583" s="25"/>
      <c r="P583" s="24"/>
      <c r="Q583" s="1"/>
      <c r="S583" s="24"/>
      <c r="T583" s="1"/>
      <c r="U583" s="1"/>
      <c r="V583" s="24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24"/>
      <c r="G584" s="1"/>
      <c r="H584" s="1"/>
      <c r="I584" s="1"/>
      <c r="J584" s="25"/>
      <c r="K584" s="1"/>
      <c r="L584" s="1"/>
      <c r="M584" s="1"/>
      <c r="N584" s="25"/>
      <c r="O584" s="25"/>
      <c r="P584" s="24"/>
      <c r="Q584" s="1"/>
      <c r="S584" s="24"/>
      <c r="T584" s="1"/>
      <c r="U584" s="1"/>
      <c r="V584" s="24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24"/>
      <c r="G585" s="1"/>
      <c r="H585" s="1"/>
      <c r="I585" s="1"/>
      <c r="J585" s="25"/>
      <c r="K585" s="1"/>
      <c r="L585" s="1"/>
      <c r="M585" s="1"/>
      <c r="N585" s="25"/>
      <c r="O585" s="25"/>
      <c r="P585" s="24"/>
      <c r="Q585" s="1"/>
      <c r="S585" s="24"/>
      <c r="T585" s="1"/>
      <c r="U585" s="1"/>
      <c r="V585" s="24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24"/>
      <c r="G586" s="1"/>
      <c r="H586" s="1"/>
      <c r="I586" s="1"/>
      <c r="J586" s="25"/>
      <c r="K586" s="1"/>
      <c r="L586" s="1"/>
      <c r="M586" s="1"/>
      <c r="N586" s="25"/>
      <c r="O586" s="25"/>
      <c r="P586" s="24"/>
      <c r="Q586" s="1"/>
      <c r="S586" s="24"/>
      <c r="T586" s="1"/>
      <c r="U586" s="1"/>
      <c r="V586" s="24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24"/>
      <c r="G587" s="1"/>
      <c r="H587" s="1"/>
      <c r="I587" s="1"/>
      <c r="J587" s="25"/>
      <c r="K587" s="1"/>
      <c r="L587" s="1"/>
      <c r="M587" s="1"/>
      <c r="N587" s="25"/>
      <c r="O587" s="25"/>
      <c r="P587" s="24"/>
      <c r="Q587" s="1"/>
      <c r="S587" s="24"/>
      <c r="T587" s="1"/>
      <c r="U587" s="1"/>
      <c r="V587" s="24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24"/>
      <c r="G588" s="1"/>
      <c r="H588" s="1"/>
      <c r="I588" s="1"/>
      <c r="J588" s="25"/>
      <c r="K588" s="1"/>
      <c r="L588" s="1"/>
      <c r="M588" s="1"/>
      <c r="N588" s="25"/>
      <c r="O588" s="25"/>
      <c r="P588" s="24"/>
      <c r="Q588" s="1"/>
      <c r="S588" s="24"/>
      <c r="T588" s="1"/>
      <c r="U588" s="1"/>
      <c r="V588" s="24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24"/>
      <c r="G589" s="1"/>
      <c r="H589" s="1"/>
      <c r="I589" s="1"/>
      <c r="J589" s="25"/>
      <c r="K589" s="1"/>
      <c r="L589" s="1"/>
      <c r="M589" s="1"/>
      <c r="N589" s="25"/>
      <c r="O589" s="25"/>
      <c r="P589" s="24"/>
      <c r="Q589" s="1"/>
      <c r="S589" s="24"/>
      <c r="T589" s="1"/>
      <c r="U589" s="1"/>
      <c r="V589" s="24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24"/>
      <c r="G590" s="1"/>
      <c r="H590" s="1"/>
      <c r="I590" s="1"/>
      <c r="J590" s="25"/>
      <c r="K590" s="1"/>
      <c r="L590" s="1"/>
      <c r="M590" s="1"/>
      <c r="N590" s="25"/>
      <c r="O590" s="25"/>
      <c r="P590" s="24"/>
      <c r="Q590" s="1"/>
      <c r="S590" s="24"/>
      <c r="T590" s="1"/>
      <c r="U590" s="1"/>
      <c r="V590" s="24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24"/>
      <c r="G591" s="1"/>
      <c r="H591" s="1"/>
      <c r="I591" s="1"/>
      <c r="J591" s="25"/>
      <c r="K591" s="1"/>
      <c r="L591" s="1"/>
      <c r="M591" s="1"/>
      <c r="N591" s="25"/>
      <c r="O591" s="25"/>
      <c r="P591" s="24"/>
      <c r="Q591" s="1"/>
      <c r="S591" s="24"/>
      <c r="T591" s="1"/>
      <c r="U591" s="1"/>
      <c r="V591" s="24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24"/>
      <c r="G592" s="1"/>
      <c r="H592" s="1"/>
      <c r="I592" s="1"/>
      <c r="J592" s="25"/>
      <c r="K592" s="1"/>
      <c r="L592" s="1"/>
      <c r="M592" s="1"/>
      <c r="N592" s="25"/>
      <c r="O592" s="25"/>
      <c r="P592" s="24"/>
      <c r="Q592" s="1"/>
      <c r="S592" s="24"/>
      <c r="T592" s="1"/>
      <c r="U592" s="1"/>
      <c r="V592" s="24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24"/>
      <c r="G593" s="1"/>
      <c r="H593" s="1"/>
      <c r="I593" s="1"/>
      <c r="J593" s="25"/>
      <c r="K593" s="1"/>
      <c r="L593" s="1"/>
      <c r="M593" s="1"/>
      <c r="N593" s="25"/>
      <c r="O593" s="25"/>
      <c r="P593" s="24"/>
      <c r="Q593" s="1"/>
      <c r="S593" s="24"/>
      <c r="T593" s="1"/>
      <c r="U593" s="1"/>
      <c r="V593" s="24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24"/>
      <c r="G594" s="1"/>
      <c r="H594" s="1"/>
      <c r="I594" s="1"/>
      <c r="J594" s="25"/>
      <c r="K594" s="1"/>
      <c r="L594" s="1"/>
      <c r="M594" s="1"/>
      <c r="N594" s="25"/>
      <c r="O594" s="25"/>
      <c r="P594" s="24"/>
      <c r="Q594" s="1"/>
      <c r="S594" s="24"/>
      <c r="T594" s="1"/>
      <c r="U594" s="1"/>
      <c r="V594" s="24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24"/>
      <c r="G595" s="1"/>
      <c r="H595" s="1"/>
      <c r="I595" s="1"/>
      <c r="J595" s="25"/>
      <c r="K595" s="1"/>
      <c r="L595" s="1"/>
      <c r="M595" s="1"/>
      <c r="N595" s="25"/>
      <c r="O595" s="25"/>
      <c r="P595" s="24"/>
      <c r="Q595" s="1"/>
      <c r="S595" s="24"/>
      <c r="T595" s="1"/>
      <c r="U595" s="1"/>
      <c r="V595" s="24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24"/>
      <c r="G596" s="1"/>
      <c r="H596" s="1"/>
      <c r="I596" s="1"/>
      <c r="J596" s="25"/>
      <c r="K596" s="1"/>
      <c r="L596" s="1"/>
      <c r="M596" s="1"/>
      <c r="N596" s="25"/>
      <c r="O596" s="25"/>
      <c r="P596" s="24"/>
      <c r="Q596" s="1"/>
      <c r="S596" s="24"/>
      <c r="T596" s="1"/>
      <c r="U596" s="1"/>
      <c r="V596" s="24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24"/>
      <c r="G597" s="1"/>
      <c r="H597" s="1"/>
      <c r="I597" s="1"/>
      <c r="J597" s="25"/>
      <c r="K597" s="1"/>
      <c r="L597" s="1"/>
      <c r="M597" s="1"/>
      <c r="N597" s="25"/>
      <c r="O597" s="25"/>
      <c r="P597" s="24"/>
      <c r="Q597" s="1"/>
      <c r="S597" s="24"/>
      <c r="T597" s="1"/>
      <c r="U597" s="1"/>
      <c r="V597" s="24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24"/>
      <c r="G598" s="1"/>
      <c r="H598" s="1"/>
      <c r="I598" s="1"/>
      <c r="J598" s="25"/>
      <c r="K598" s="1"/>
      <c r="L598" s="1"/>
      <c r="M598" s="1"/>
      <c r="N598" s="25"/>
      <c r="O598" s="25"/>
      <c r="P598" s="24"/>
      <c r="Q598" s="1"/>
      <c r="S598" s="24"/>
      <c r="T598" s="1"/>
      <c r="U598" s="1"/>
      <c r="V598" s="24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24"/>
      <c r="G599" s="1"/>
      <c r="H599" s="1"/>
      <c r="I599" s="1"/>
      <c r="J599" s="25"/>
      <c r="K599" s="1"/>
      <c r="L599" s="1"/>
      <c r="M599" s="1"/>
      <c r="N599" s="25"/>
      <c r="O599" s="25"/>
      <c r="P599" s="24"/>
      <c r="Q599" s="1"/>
      <c r="S599" s="24"/>
      <c r="T599" s="1"/>
      <c r="U599" s="1"/>
      <c r="V599" s="24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24"/>
      <c r="G600" s="1"/>
      <c r="H600" s="1"/>
      <c r="I600" s="1"/>
      <c r="J600" s="25"/>
      <c r="K600" s="1"/>
      <c r="L600" s="1"/>
      <c r="M600" s="1"/>
      <c r="N600" s="25"/>
      <c r="O600" s="25"/>
      <c r="P600" s="24"/>
      <c r="Q600" s="1"/>
      <c r="S600" s="24"/>
      <c r="T600" s="1"/>
      <c r="U600" s="1"/>
      <c r="V600" s="24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24"/>
      <c r="G601" s="1"/>
      <c r="H601" s="1"/>
      <c r="I601" s="1"/>
      <c r="J601" s="25"/>
      <c r="K601" s="1"/>
      <c r="L601" s="1"/>
      <c r="M601" s="1"/>
      <c r="N601" s="25"/>
      <c r="O601" s="25"/>
      <c r="P601" s="24"/>
      <c r="Q601" s="1"/>
      <c r="S601" s="24"/>
      <c r="T601" s="1"/>
      <c r="U601" s="1"/>
      <c r="V601" s="24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24"/>
      <c r="G602" s="1"/>
      <c r="H602" s="1"/>
      <c r="I602" s="1"/>
      <c r="J602" s="25"/>
      <c r="K602" s="1"/>
      <c r="L602" s="1"/>
      <c r="M602" s="1"/>
      <c r="N602" s="25"/>
      <c r="O602" s="25"/>
      <c r="P602" s="24"/>
      <c r="Q602" s="1"/>
      <c r="S602" s="24"/>
      <c r="T602" s="1"/>
      <c r="U602" s="1"/>
      <c r="V602" s="24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24"/>
      <c r="G603" s="1"/>
      <c r="H603" s="1"/>
      <c r="I603" s="1"/>
      <c r="J603" s="25"/>
      <c r="K603" s="1"/>
      <c r="L603" s="1"/>
      <c r="M603" s="1"/>
      <c r="N603" s="25"/>
      <c r="O603" s="25"/>
      <c r="P603" s="24"/>
      <c r="Q603" s="1"/>
      <c r="S603" s="24"/>
      <c r="T603" s="1"/>
      <c r="U603" s="1"/>
      <c r="V603" s="24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24"/>
      <c r="G604" s="1"/>
      <c r="H604" s="1"/>
      <c r="I604" s="1"/>
      <c r="J604" s="25"/>
      <c r="K604" s="1"/>
      <c r="L604" s="1"/>
      <c r="M604" s="1"/>
      <c r="N604" s="25"/>
      <c r="O604" s="25"/>
      <c r="P604" s="24"/>
      <c r="Q604" s="1"/>
      <c r="S604" s="24"/>
      <c r="T604" s="1"/>
      <c r="U604" s="1"/>
      <c r="V604" s="24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24"/>
      <c r="G605" s="1"/>
      <c r="H605" s="1"/>
      <c r="I605" s="1"/>
      <c r="J605" s="25"/>
      <c r="K605" s="1"/>
      <c r="L605" s="1"/>
      <c r="M605" s="1"/>
      <c r="N605" s="25"/>
      <c r="O605" s="25"/>
      <c r="P605" s="24"/>
      <c r="Q605" s="1"/>
      <c r="S605" s="24"/>
      <c r="T605" s="1"/>
      <c r="U605" s="1"/>
      <c r="V605" s="24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24"/>
      <c r="G606" s="1"/>
      <c r="H606" s="1"/>
      <c r="I606" s="1"/>
      <c r="J606" s="25"/>
      <c r="K606" s="1"/>
      <c r="L606" s="1"/>
      <c r="M606" s="1"/>
      <c r="N606" s="25"/>
      <c r="O606" s="25"/>
      <c r="P606" s="24"/>
      <c r="Q606" s="1"/>
      <c r="S606" s="24"/>
      <c r="T606" s="1"/>
      <c r="U606" s="1"/>
      <c r="V606" s="24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24"/>
      <c r="G607" s="1"/>
      <c r="H607" s="1"/>
      <c r="I607" s="1"/>
      <c r="J607" s="25"/>
      <c r="K607" s="1"/>
      <c r="L607" s="1"/>
      <c r="M607" s="1"/>
      <c r="N607" s="25"/>
      <c r="O607" s="25"/>
      <c r="P607" s="24"/>
      <c r="Q607" s="1"/>
      <c r="S607" s="24"/>
      <c r="T607" s="1"/>
      <c r="U607" s="1"/>
      <c r="V607" s="24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24"/>
      <c r="G608" s="1"/>
      <c r="H608" s="1"/>
      <c r="I608" s="1"/>
      <c r="J608" s="25"/>
      <c r="K608" s="1"/>
      <c r="L608" s="1"/>
      <c r="M608" s="1"/>
      <c r="N608" s="25"/>
      <c r="O608" s="25"/>
      <c r="P608" s="24"/>
      <c r="Q608" s="1"/>
      <c r="S608" s="24"/>
      <c r="T608" s="1"/>
      <c r="U608" s="1"/>
      <c r="V608" s="24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24"/>
      <c r="G609" s="1"/>
      <c r="H609" s="1"/>
      <c r="I609" s="1"/>
      <c r="J609" s="25"/>
      <c r="K609" s="1"/>
      <c r="L609" s="1"/>
      <c r="M609" s="1"/>
      <c r="N609" s="25"/>
      <c r="O609" s="25"/>
      <c r="P609" s="24"/>
      <c r="Q609" s="1"/>
      <c r="S609" s="24"/>
      <c r="T609" s="1"/>
      <c r="U609" s="1"/>
      <c r="V609" s="24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24"/>
      <c r="G610" s="1"/>
      <c r="H610" s="1"/>
      <c r="I610" s="1"/>
      <c r="J610" s="25"/>
      <c r="K610" s="1"/>
      <c r="L610" s="1"/>
      <c r="M610" s="1"/>
      <c r="N610" s="25"/>
      <c r="O610" s="25"/>
      <c r="P610" s="24"/>
      <c r="Q610" s="1"/>
      <c r="S610" s="24"/>
      <c r="T610" s="1"/>
      <c r="U610" s="1"/>
      <c r="V610" s="24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24"/>
      <c r="G611" s="1"/>
      <c r="H611" s="1"/>
      <c r="I611" s="1"/>
      <c r="J611" s="25"/>
      <c r="K611" s="1"/>
      <c r="L611" s="1"/>
      <c r="M611" s="1"/>
      <c r="N611" s="25"/>
      <c r="O611" s="25"/>
      <c r="P611" s="24"/>
      <c r="Q611" s="1"/>
      <c r="S611" s="24"/>
      <c r="T611" s="1"/>
      <c r="U611" s="1"/>
      <c r="V611" s="24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24"/>
      <c r="G612" s="1"/>
      <c r="H612" s="1"/>
      <c r="I612" s="1"/>
      <c r="J612" s="25"/>
      <c r="K612" s="1"/>
      <c r="L612" s="1"/>
      <c r="M612" s="1"/>
      <c r="N612" s="25"/>
      <c r="O612" s="25"/>
      <c r="P612" s="24"/>
      <c r="Q612" s="1"/>
      <c r="S612" s="24"/>
      <c r="T612" s="1"/>
      <c r="U612" s="1"/>
      <c r="V612" s="24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24"/>
      <c r="G613" s="1"/>
      <c r="H613" s="1"/>
      <c r="I613" s="1"/>
      <c r="J613" s="25"/>
      <c r="K613" s="1"/>
      <c r="L613" s="1"/>
      <c r="M613" s="1"/>
      <c r="N613" s="25"/>
      <c r="O613" s="25"/>
      <c r="P613" s="24"/>
      <c r="Q613" s="1"/>
      <c r="S613" s="24"/>
      <c r="T613" s="1"/>
      <c r="U613" s="1"/>
      <c r="V613" s="24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24"/>
      <c r="G614" s="1"/>
      <c r="H614" s="1"/>
      <c r="I614" s="1"/>
      <c r="J614" s="25"/>
      <c r="K614" s="1"/>
      <c r="L614" s="1"/>
      <c r="M614" s="1"/>
      <c r="N614" s="25"/>
      <c r="O614" s="25"/>
      <c r="P614" s="24"/>
      <c r="Q614" s="1"/>
      <c r="S614" s="24"/>
      <c r="T614" s="1"/>
      <c r="U614" s="1"/>
      <c r="V614" s="24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24"/>
      <c r="G615" s="1"/>
      <c r="H615" s="1"/>
      <c r="I615" s="1"/>
      <c r="J615" s="25"/>
      <c r="K615" s="1"/>
      <c r="L615" s="1"/>
      <c r="M615" s="1"/>
      <c r="N615" s="25"/>
      <c r="O615" s="25"/>
      <c r="P615" s="24"/>
      <c r="Q615" s="1"/>
      <c r="S615" s="24"/>
      <c r="T615" s="1"/>
      <c r="U615" s="1"/>
      <c r="V615" s="24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24"/>
      <c r="G616" s="1"/>
      <c r="H616" s="1"/>
      <c r="I616" s="1"/>
      <c r="J616" s="25"/>
      <c r="K616" s="1"/>
      <c r="L616" s="1"/>
      <c r="M616" s="1"/>
      <c r="N616" s="25"/>
      <c r="O616" s="25"/>
      <c r="P616" s="24"/>
      <c r="Q616" s="1"/>
      <c r="S616" s="24"/>
      <c r="T616" s="1"/>
      <c r="U616" s="1"/>
      <c r="V616" s="24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24"/>
      <c r="G617" s="1"/>
      <c r="H617" s="1"/>
      <c r="I617" s="1"/>
      <c r="J617" s="25"/>
      <c r="K617" s="1"/>
      <c r="L617" s="1"/>
      <c r="M617" s="1"/>
      <c r="N617" s="25"/>
      <c r="O617" s="25"/>
      <c r="P617" s="24"/>
      <c r="Q617" s="1"/>
      <c r="S617" s="24"/>
      <c r="T617" s="1"/>
      <c r="U617" s="1"/>
      <c r="V617" s="24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24"/>
      <c r="G618" s="1"/>
      <c r="H618" s="1"/>
      <c r="I618" s="1"/>
      <c r="J618" s="25"/>
      <c r="K618" s="1"/>
      <c r="L618" s="1"/>
      <c r="M618" s="1"/>
      <c r="N618" s="25"/>
      <c r="O618" s="25"/>
      <c r="P618" s="24"/>
      <c r="Q618" s="1"/>
      <c r="S618" s="24"/>
      <c r="T618" s="1"/>
      <c r="U618" s="1"/>
      <c r="V618" s="24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24"/>
      <c r="G619" s="1"/>
      <c r="H619" s="1"/>
      <c r="I619" s="1"/>
      <c r="J619" s="25"/>
      <c r="K619" s="1"/>
      <c r="L619" s="1"/>
      <c r="M619" s="1"/>
      <c r="N619" s="25"/>
      <c r="O619" s="25"/>
      <c r="P619" s="24"/>
      <c r="Q619" s="1"/>
      <c r="S619" s="24"/>
      <c r="T619" s="1"/>
      <c r="U619" s="1"/>
      <c r="V619" s="24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24"/>
      <c r="G620" s="1"/>
      <c r="H620" s="1"/>
      <c r="I620" s="1"/>
      <c r="J620" s="25"/>
      <c r="K620" s="1"/>
      <c r="L620" s="1"/>
      <c r="M620" s="1"/>
      <c r="N620" s="25"/>
      <c r="O620" s="25"/>
      <c r="P620" s="24"/>
      <c r="Q620" s="1"/>
      <c r="S620" s="24"/>
      <c r="T620" s="1"/>
      <c r="U620" s="1"/>
      <c r="V620" s="24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24"/>
      <c r="G621" s="1"/>
      <c r="H621" s="1"/>
      <c r="I621" s="1"/>
      <c r="J621" s="25"/>
      <c r="K621" s="1"/>
      <c r="L621" s="1"/>
      <c r="M621" s="1"/>
      <c r="N621" s="25"/>
      <c r="O621" s="25"/>
      <c r="P621" s="24"/>
      <c r="Q621" s="1"/>
      <c r="S621" s="24"/>
      <c r="T621" s="1"/>
      <c r="U621" s="1"/>
      <c r="V621" s="24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24"/>
      <c r="G622" s="1"/>
      <c r="H622" s="1"/>
      <c r="I622" s="1"/>
      <c r="J622" s="25"/>
      <c r="K622" s="1"/>
      <c r="L622" s="1"/>
      <c r="M622" s="1"/>
      <c r="N622" s="25"/>
      <c r="O622" s="25"/>
      <c r="P622" s="24"/>
      <c r="Q622" s="1"/>
      <c r="S622" s="24"/>
      <c r="T622" s="1"/>
      <c r="U622" s="1"/>
      <c r="V622" s="24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24"/>
      <c r="G623" s="1"/>
      <c r="H623" s="1"/>
      <c r="I623" s="1"/>
      <c r="J623" s="25"/>
      <c r="K623" s="1"/>
      <c r="L623" s="1"/>
      <c r="M623" s="1"/>
      <c r="N623" s="25"/>
      <c r="O623" s="25"/>
      <c r="P623" s="24"/>
      <c r="Q623" s="1"/>
      <c r="S623" s="24"/>
      <c r="T623" s="1"/>
      <c r="U623" s="1"/>
      <c r="V623" s="24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24"/>
      <c r="G624" s="1"/>
      <c r="H624" s="1"/>
      <c r="I624" s="1"/>
      <c r="J624" s="25"/>
      <c r="K624" s="1"/>
      <c r="L624" s="1"/>
      <c r="M624" s="1"/>
      <c r="N624" s="25"/>
      <c r="O624" s="25"/>
      <c r="P624" s="24"/>
      <c r="Q624" s="1"/>
      <c r="S624" s="24"/>
      <c r="T624" s="1"/>
      <c r="U624" s="1"/>
      <c r="V624" s="24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24"/>
      <c r="G625" s="1"/>
      <c r="H625" s="1"/>
      <c r="I625" s="1"/>
      <c r="J625" s="25"/>
      <c r="K625" s="1"/>
      <c r="L625" s="1"/>
      <c r="M625" s="1"/>
      <c r="N625" s="25"/>
      <c r="O625" s="25"/>
      <c r="P625" s="24"/>
      <c r="Q625" s="1"/>
      <c r="S625" s="24"/>
      <c r="T625" s="1"/>
      <c r="U625" s="1"/>
      <c r="V625" s="24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24"/>
      <c r="G626" s="1"/>
      <c r="H626" s="1"/>
      <c r="I626" s="1"/>
      <c r="J626" s="25"/>
      <c r="K626" s="1"/>
      <c r="L626" s="1"/>
      <c r="M626" s="1"/>
      <c r="N626" s="25"/>
      <c r="O626" s="25"/>
      <c r="P626" s="24"/>
      <c r="Q626" s="1"/>
      <c r="S626" s="24"/>
      <c r="T626" s="1"/>
      <c r="U626" s="1"/>
      <c r="V626" s="24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24"/>
      <c r="G627" s="1"/>
      <c r="H627" s="1"/>
      <c r="I627" s="1"/>
      <c r="J627" s="25"/>
      <c r="K627" s="1"/>
      <c r="L627" s="1"/>
      <c r="M627" s="1"/>
      <c r="N627" s="25"/>
      <c r="O627" s="25"/>
      <c r="P627" s="24"/>
      <c r="Q627" s="1"/>
      <c r="S627" s="24"/>
      <c r="T627" s="1"/>
      <c r="U627" s="1"/>
      <c r="V627" s="24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24"/>
      <c r="G628" s="1"/>
      <c r="H628" s="1"/>
      <c r="I628" s="1"/>
      <c r="J628" s="25"/>
      <c r="K628" s="1"/>
      <c r="L628" s="1"/>
      <c r="M628" s="1"/>
      <c r="N628" s="25"/>
      <c r="O628" s="25"/>
      <c r="P628" s="24"/>
      <c r="Q628" s="1"/>
      <c r="S628" s="24"/>
      <c r="T628" s="1"/>
      <c r="U628" s="1"/>
      <c r="V628" s="24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24"/>
      <c r="G629" s="1"/>
      <c r="H629" s="1"/>
      <c r="I629" s="1"/>
      <c r="J629" s="25"/>
      <c r="K629" s="1"/>
      <c r="L629" s="1"/>
      <c r="M629" s="1"/>
      <c r="N629" s="25"/>
      <c r="O629" s="25"/>
      <c r="P629" s="24"/>
      <c r="Q629" s="1"/>
      <c r="S629" s="24"/>
      <c r="T629" s="1"/>
      <c r="U629" s="1"/>
      <c r="V629" s="24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24"/>
      <c r="G630" s="1"/>
      <c r="H630" s="1"/>
      <c r="I630" s="1"/>
      <c r="J630" s="25"/>
      <c r="K630" s="1"/>
      <c r="L630" s="1"/>
      <c r="M630" s="1"/>
      <c r="N630" s="25"/>
      <c r="O630" s="25"/>
      <c r="P630" s="24"/>
      <c r="Q630" s="1"/>
      <c r="S630" s="24"/>
      <c r="T630" s="1"/>
      <c r="U630" s="1"/>
      <c r="V630" s="24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24"/>
      <c r="G631" s="1"/>
      <c r="H631" s="1"/>
      <c r="I631" s="1"/>
      <c r="J631" s="25"/>
      <c r="K631" s="1"/>
      <c r="L631" s="1"/>
      <c r="M631" s="1"/>
      <c r="N631" s="25"/>
      <c r="O631" s="25"/>
      <c r="P631" s="24"/>
      <c r="Q631" s="1"/>
      <c r="S631" s="24"/>
      <c r="T631" s="1"/>
      <c r="U631" s="1"/>
      <c r="V631" s="24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24"/>
      <c r="G632" s="1"/>
      <c r="H632" s="1"/>
      <c r="I632" s="1"/>
      <c r="J632" s="25"/>
      <c r="K632" s="1"/>
      <c r="L632" s="1"/>
      <c r="M632" s="1"/>
      <c r="N632" s="25"/>
      <c r="O632" s="25"/>
      <c r="P632" s="24"/>
      <c r="Q632" s="1"/>
      <c r="S632" s="24"/>
      <c r="T632" s="1"/>
      <c r="U632" s="1"/>
      <c r="V632" s="24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24"/>
      <c r="G633" s="1"/>
      <c r="H633" s="1"/>
      <c r="I633" s="1"/>
      <c r="J633" s="25"/>
      <c r="K633" s="1"/>
      <c r="L633" s="1"/>
      <c r="M633" s="1"/>
      <c r="N633" s="25"/>
      <c r="O633" s="25"/>
      <c r="P633" s="24"/>
      <c r="Q633" s="1"/>
      <c r="S633" s="24"/>
      <c r="T633" s="1"/>
      <c r="U633" s="1"/>
      <c r="V633" s="24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24"/>
      <c r="G634" s="1"/>
      <c r="H634" s="1"/>
      <c r="I634" s="1"/>
      <c r="J634" s="25"/>
      <c r="K634" s="1"/>
      <c r="L634" s="1"/>
      <c r="M634" s="1"/>
      <c r="N634" s="25"/>
      <c r="O634" s="25"/>
      <c r="P634" s="24"/>
      <c r="Q634" s="1"/>
      <c r="S634" s="24"/>
      <c r="T634" s="1"/>
      <c r="U634" s="1"/>
      <c r="V634" s="24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24"/>
      <c r="G635" s="1"/>
      <c r="H635" s="1"/>
      <c r="I635" s="1"/>
      <c r="J635" s="25"/>
      <c r="K635" s="1"/>
      <c r="L635" s="1"/>
      <c r="M635" s="1"/>
      <c r="N635" s="25"/>
      <c r="O635" s="25"/>
      <c r="P635" s="24"/>
      <c r="Q635" s="1"/>
      <c r="S635" s="24"/>
      <c r="T635" s="1"/>
      <c r="U635" s="1"/>
      <c r="V635" s="24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24"/>
      <c r="G636" s="1"/>
      <c r="H636" s="1"/>
      <c r="I636" s="1"/>
      <c r="J636" s="25"/>
      <c r="K636" s="1"/>
      <c r="L636" s="1"/>
      <c r="M636" s="1"/>
      <c r="N636" s="25"/>
      <c r="O636" s="25"/>
      <c r="P636" s="24"/>
      <c r="Q636" s="1"/>
      <c r="S636" s="24"/>
      <c r="T636" s="1"/>
      <c r="U636" s="1"/>
      <c r="V636" s="24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24"/>
      <c r="G637" s="1"/>
      <c r="H637" s="1"/>
      <c r="I637" s="1"/>
      <c r="J637" s="25"/>
      <c r="K637" s="1"/>
      <c r="L637" s="1"/>
      <c r="M637" s="1"/>
      <c r="N637" s="25"/>
      <c r="O637" s="25"/>
      <c r="P637" s="24"/>
      <c r="Q637" s="1"/>
      <c r="S637" s="24"/>
      <c r="T637" s="1"/>
      <c r="U637" s="1"/>
      <c r="V637" s="24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24"/>
      <c r="G638" s="1"/>
      <c r="H638" s="1"/>
      <c r="I638" s="1"/>
      <c r="J638" s="25"/>
      <c r="K638" s="1"/>
      <c r="L638" s="1"/>
      <c r="M638" s="1"/>
      <c r="N638" s="25"/>
      <c r="O638" s="25"/>
      <c r="P638" s="24"/>
      <c r="Q638" s="1"/>
      <c r="S638" s="24"/>
      <c r="T638" s="1"/>
      <c r="U638" s="1"/>
      <c r="V638" s="24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24"/>
      <c r="G639" s="1"/>
      <c r="H639" s="1"/>
      <c r="I639" s="1"/>
      <c r="J639" s="25"/>
      <c r="K639" s="1"/>
      <c r="L639" s="1"/>
      <c r="M639" s="1"/>
      <c r="N639" s="25"/>
      <c r="O639" s="25"/>
      <c r="P639" s="24"/>
      <c r="Q639" s="1"/>
      <c r="S639" s="24"/>
      <c r="T639" s="1"/>
      <c r="U639" s="1"/>
      <c r="V639" s="24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24"/>
      <c r="G640" s="1"/>
      <c r="H640" s="1"/>
      <c r="I640" s="1"/>
      <c r="J640" s="25"/>
      <c r="K640" s="1"/>
      <c r="L640" s="1"/>
      <c r="M640" s="1"/>
      <c r="N640" s="25"/>
      <c r="O640" s="25"/>
      <c r="P640" s="24"/>
      <c r="Q640" s="1"/>
      <c r="S640" s="24"/>
      <c r="T640" s="1"/>
      <c r="U640" s="1"/>
      <c r="V640" s="24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24"/>
      <c r="G641" s="1"/>
      <c r="H641" s="1"/>
      <c r="I641" s="1"/>
      <c r="J641" s="25"/>
      <c r="K641" s="1"/>
      <c r="L641" s="1"/>
      <c r="M641" s="1"/>
      <c r="N641" s="25"/>
      <c r="O641" s="25"/>
      <c r="P641" s="24"/>
      <c r="Q641" s="1"/>
      <c r="S641" s="24"/>
      <c r="T641" s="1"/>
      <c r="U641" s="1"/>
      <c r="V641" s="24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24"/>
      <c r="G642" s="1"/>
      <c r="H642" s="1"/>
      <c r="I642" s="1"/>
      <c r="J642" s="25"/>
      <c r="K642" s="1"/>
      <c r="L642" s="1"/>
      <c r="M642" s="1"/>
      <c r="N642" s="25"/>
      <c r="O642" s="25"/>
      <c r="P642" s="24"/>
      <c r="Q642" s="1"/>
      <c r="S642" s="24"/>
      <c r="T642" s="1"/>
      <c r="U642" s="1"/>
      <c r="V642" s="24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24"/>
      <c r="G643" s="1"/>
      <c r="H643" s="1"/>
      <c r="I643" s="1"/>
      <c r="J643" s="25"/>
      <c r="K643" s="1"/>
      <c r="L643" s="1"/>
      <c r="M643" s="1"/>
      <c r="N643" s="25"/>
      <c r="O643" s="25"/>
      <c r="P643" s="24"/>
      <c r="Q643" s="1"/>
      <c r="S643" s="24"/>
      <c r="T643" s="1"/>
      <c r="U643" s="1"/>
      <c r="V643" s="24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24"/>
      <c r="G644" s="1"/>
      <c r="H644" s="1"/>
      <c r="I644" s="1"/>
      <c r="J644" s="25"/>
      <c r="K644" s="1"/>
      <c r="L644" s="1"/>
      <c r="M644" s="1"/>
      <c r="N644" s="25"/>
      <c r="O644" s="25"/>
      <c r="P644" s="24"/>
      <c r="Q644" s="1"/>
      <c r="S644" s="24"/>
      <c r="T644" s="1"/>
      <c r="U644" s="1"/>
      <c r="V644" s="24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24"/>
      <c r="G645" s="1"/>
      <c r="H645" s="1"/>
      <c r="I645" s="1"/>
      <c r="J645" s="25"/>
      <c r="K645" s="1"/>
      <c r="L645" s="1"/>
      <c r="M645" s="1"/>
      <c r="N645" s="25"/>
      <c r="O645" s="25"/>
      <c r="P645" s="24"/>
      <c r="Q645" s="1"/>
      <c r="S645" s="24"/>
      <c r="T645" s="1"/>
      <c r="U645" s="1"/>
      <c r="V645" s="24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24"/>
      <c r="G646" s="1"/>
      <c r="H646" s="1"/>
      <c r="I646" s="1"/>
      <c r="J646" s="25"/>
      <c r="K646" s="1"/>
      <c r="L646" s="1"/>
      <c r="M646" s="1"/>
      <c r="N646" s="25"/>
      <c r="O646" s="25"/>
      <c r="P646" s="24"/>
      <c r="Q646" s="1"/>
      <c r="S646" s="24"/>
      <c r="T646" s="1"/>
      <c r="U646" s="1"/>
      <c r="V646" s="24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24"/>
      <c r="G647" s="1"/>
      <c r="H647" s="1"/>
      <c r="I647" s="1"/>
      <c r="J647" s="25"/>
      <c r="K647" s="1"/>
      <c r="L647" s="1"/>
      <c r="M647" s="1"/>
      <c r="N647" s="25"/>
      <c r="O647" s="25"/>
      <c r="P647" s="24"/>
      <c r="Q647" s="1"/>
      <c r="S647" s="24"/>
      <c r="T647" s="1"/>
      <c r="U647" s="1"/>
      <c r="V647" s="24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24"/>
      <c r="G648" s="1"/>
      <c r="H648" s="1"/>
      <c r="I648" s="1"/>
      <c r="J648" s="25"/>
      <c r="K648" s="1"/>
      <c r="L648" s="1"/>
      <c r="M648" s="1"/>
      <c r="N648" s="25"/>
      <c r="O648" s="25"/>
      <c r="P648" s="24"/>
      <c r="Q648" s="1"/>
      <c r="S648" s="24"/>
      <c r="T648" s="1"/>
      <c r="U648" s="1"/>
      <c r="V648" s="24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24"/>
      <c r="G649" s="1"/>
      <c r="H649" s="1"/>
      <c r="I649" s="1"/>
      <c r="J649" s="25"/>
      <c r="K649" s="1"/>
      <c r="L649" s="1"/>
      <c r="M649" s="1"/>
      <c r="N649" s="25"/>
      <c r="O649" s="25"/>
      <c r="P649" s="24"/>
      <c r="Q649" s="1"/>
      <c r="S649" s="24"/>
      <c r="T649" s="1"/>
      <c r="U649" s="1"/>
      <c r="V649" s="24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24"/>
      <c r="G650" s="1"/>
      <c r="H650" s="1"/>
      <c r="I650" s="1"/>
      <c r="J650" s="25"/>
      <c r="K650" s="1"/>
      <c r="L650" s="1"/>
      <c r="M650" s="1"/>
      <c r="N650" s="25"/>
      <c r="O650" s="25"/>
      <c r="P650" s="24"/>
      <c r="Q650" s="1"/>
      <c r="S650" s="24"/>
      <c r="T650" s="1"/>
      <c r="U650" s="1"/>
      <c r="V650" s="24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24"/>
      <c r="G651" s="1"/>
      <c r="H651" s="1"/>
      <c r="I651" s="1"/>
      <c r="J651" s="25"/>
      <c r="K651" s="1"/>
      <c r="L651" s="1"/>
      <c r="M651" s="1"/>
      <c r="N651" s="25"/>
      <c r="O651" s="25"/>
      <c r="P651" s="24"/>
      <c r="Q651" s="1"/>
      <c r="S651" s="24"/>
      <c r="T651" s="1"/>
      <c r="U651" s="1"/>
      <c r="V651" s="24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24"/>
      <c r="G652" s="1"/>
      <c r="H652" s="1"/>
      <c r="I652" s="1"/>
      <c r="J652" s="25"/>
      <c r="K652" s="1"/>
      <c r="L652" s="1"/>
      <c r="M652" s="1"/>
      <c r="N652" s="25"/>
      <c r="O652" s="25"/>
      <c r="P652" s="24"/>
      <c r="Q652" s="1"/>
      <c r="S652" s="24"/>
      <c r="T652" s="1"/>
      <c r="U652" s="1"/>
      <c r="V652" s="24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24"/>
      <c r="G653" s="1"/>
      <c r="H653" s="1"/>
      <c r="I653" s="1"/>
      <c r="J653" s="25"/>
      <c r="K653" s="1"/>
      <c r="L653" s="1"/>
      <c r="M653" s="1"/>
      <c r="N653" s="25"/>
      <c r="O653" s="25"/>
      <c r="P653" s="24"/>
      <c r="Q653" s="1"/>
      <c r="S653" s="24"/>
      <c r="T653" s="1"/>
      <c r="U653" s="1"/>
      <c r="V653" s="24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24"/>
      <c r="G654" s="1"/>
      <c r="H654" s="1"/>
      <c r="I654" s="1"/>
      <c r="J654" s="25"/>
      <c r="K654" s="1"/>
      <c r="L654" s="1"/>
      <c r="M654" s="1"/>
      <c r="N654" s="25"/>
      <c r="O654" s="25"/>
      <c r="P654" s="24"/>
      <c r="Q654" s="1"/>
      <c r="S654" s="24"/>
      <c r="T654" s="1"/>
      <c r="U654" s="1"/>
      <c r="V654" s="24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24"/>
      <c r="G655" s="1"/>
      <c r="H655" s="1"/>
      <c r="I655" s="1"/>
      <c r="J655" s="25"/>
      <c r="K655" s="1"/>
      <c r="L655" s="1"/>
      <c r="M655" s="1"/>
      <c r="N655" s="25"/>
      <c r="O655" s="25"/>
      <c r="P655" s="24"/>
      <c r="Q655" s="1"/>
      <c r="S655" s="24"/>
      <c r="T655" s="1"/>
      <c r="U655" s="1"/>
      <c r="V655" s="24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24"/>
      <c r="G656" s="1"/>
      <c r="H656" s="1"/>
      <c r="I656" s="1"/>
      <c r="J656" s="25"/>
      <c r="K656" s="1"/>
      <c r="L656" s="1"/>
      <c r="M656" s="1"/>
      <c r="N656" s="25"/>
      <c r="O656" s="25"/>
      <c r="P656" s="24"/>
      <c r="Q656" s="1"/>
      <c r="S656" s="24"/>
      <c r="T656" s="1"/>
      <c r="U656" s="1"/>
      <c r="V656" s="24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24"/>
      <c r="G657" s="1"/>
      <c r="H657" s="1"/>
      <c r="I657" s="1"/>
      <c r="J657" s="25"/>
      <c r="K657" s="1"/>
      <c r="L657" s="1"/>
      <c r="M657" s="1"/>
      <c r="N657" s="25"/>
      <c r="O657" s="25"/>
      <c r="P657" s="24"/>
      <c r="Q657" s="1"/>
      <c r="S657" s="24"/>
      <c r="T657" s="1"/>
      <c r="U657" s="1"/>
      <c r="V657" s="24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24"/>
      <c r="G658" s="1"/>
      <c r="H658" s="1"/>
      <c r="I658" s="1"/>
      <c r="J658" s="25"/>
      <c r="K658" s="1"/>
      <c r="L658" s="1"/>
      <c r="M658" s="1"/>
      <c r="N658" s="25"/>
      <c r="O658" s="25"/>
      <c r="P658" s="24"/>
      <c r="Q658" s="1"/>
      <c r="S658" s="24"/>
      <c r="T658" s="1"/>
      <c r="U658" s="1"/>
      <c r="V658" s="24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24"/>
      <c r="G659" s="1"/>
      <c r="H659" s="1"/>
      <c r="I659" s="1"/>
      <c r="J659" s="25"/>
      <c r="K659" s="1"/>
      <c r="L659" s="1"/>
      <c r="M659" s="1"/>
      <c r="N659" s="25"/>
      <c r="O659" s="25"/>
      <c r="P659" s="24"/>
      <c r="Q659" s="1"/>
      <c r="S659" s="24"/>
      <c r="T659" s="1"/>
      <c r="U659" s="1"/>
      <c r="V659" s="24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24"/>
      <c r="G660" s="1"/>
      <c r="H660" s="1"/>
      <c r="I660" s="1"/>
      <c r="J660" s="25"/>
      <c r="K660" s="1"/>
      <c r="L660" s="1"/>
      <c r="M660" s="1"/>
      <c r="N660" s="25"/>
      <c r="O660" s="25"/>
      <c r="P660" s="24"/>
      <c r="Q660" s="1"/>
      <c r="S660" s="24"/>
      <c r="T660" s="1"/>
      <c r="U660" s="1"/>
      <c r="V660" s="24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24"/>
      <c r="G661" s="1"/>
      <c r="H661" s="1"/>
      <c r="I661" s="1"/>
      <c r="J661" s="25"/>
      <c r="K661" s="1"/>
      <c r="L661" s="1"/>
      <c r="M661" s="1"/>
      <c r="N661" s="25"/>
      <c r="O661" s="25"/>
      <c r="P661" s="24"/>
      <c r="Q661" s="1"/>
      <c r="S661" s="24"/>
      <c r="T661" s="1"/>
      <c r="U661" s="1"/>
      <c r="V661" s="24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24"/>
      <c r="G662" s="1"/>
      <c r="H662" s="1"/>
      <c r="I662" s="1"/>
      <c r="J662" s="25"/>
      <c r="K662" s="1"/>
      <c r="L662" s="1"/>
      <c r="M662" s="1"/>
      <c r="N662" s="25"/>
      <c r="O662" s="25"/>
      <c r="P662" s="24"/>
      <c r="Q662" s="1"/>
      <c r="S662" s="24"/>
      <c r="T662" s="1"/>
      <c r="U662" s="1"/>
      <c r="V662" s="24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24"/>
      <c r="G663" s="1"/>
      <c r="H663" s="1"/>
      <c r="I663" s="1"/>
      <c r="J663" s="25"/>
      <c r="K663" s="1"/>
      <c r="L663" s="1"/>
      <c r="M663" s="1"/>
      <c r="N663" s="25"/>
      <c r="O663" s="25"/>
      <c r="P663" s="24"/>
      <c r="Q663" s="1"/>
      <c r="S663" s="24"/>
      <c r="T663" s="1"/>
      <c r="U663" s="1"/>
      <c r="V663" s="24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24"/>
      <c r="G664" s="1"/>
      <c r="H664" s="1"/>
      <c r="I664" s="1"/>
      <c r="J664" s="25"/>
      <c r="K664" s="1"/>
      <c r="L664" s="1"/>
      <c r="M664" s="1"/>
      <c r="N664" s="25"/>
      <c r="O664" s="25"/>
      <c r="P664" s="24"/>
      <c r="Q664" s="1"/>
      <c r="S664" s="24"/>
      <c r="T664" s="1"/>
      <c r="U664" s="1"/>
      <c r="V664" s="24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24"/>
      <c r="G665" s="1"/>
      <c r="H665" s="1"/>
      <c r="I665" s="1"/>
      <c r="J665" s="25"/>
      <c r="K665" s="1"/>
      <c r="L665" s="1"/>
      <c r="M665" s="1"/>
      <c r="N665" s="25"/>
      <c r="O665" s="25"/>
      <c r="P665" s="24"/>
      <c r="Q665" s="1"/>
      <c r="S665" s="24"/>
      <c r="T665" s="1"/>
      <c r="U665" s="1"/>
      <c r="V665" s="24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24"/>
      <c r="G666" s="1"/>
      <c r="H666" s="1"/>
      <c r="I666" s="1"/>
      <c r="J666" s="25"/>
      <c r="K666" s="1"/>
      <c r="L666" s="1"/>
      <c r="M666" s="1"/>
      <c r="N666" s="25"/>
      <c r="O666" s="25"/>
      <c r="P666" s="24"/>
      <c r="Q666" s="1"/>
      <c r="S666" s="24"/>
      <c r="T666" s="1"/>
      <c r="U666" s="1"/>
      <c r="V666" s="24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24"/>
      <c r="G667" s="1"/>
      <c r="H667" s="1"/>
      <c r="I667" s="1"/>
      <c r="J667" s="25"/>
      <c r="K667" s="1"/>
      <c r="L667" s="1"/>
      <c r="M667" s="1"/>
      <c r="N667" s="25"/>
      <c r="O667" s="25"/>
      <c r="P667" s="24"/>
      <c r="Q667" s="1"/>
      <c r="S667" s="24"/>
      <c r="T667" s="1"/>
      <c r="U667" s="1"/>
      <c r="V667" s="24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24"/>
      <c r="G668" s="1"/>
      <c r="H668" s="1"/>
      <c r="I668" s="1"/>
      <c r="J668" s="25"/>
      <c r="K668" s="1"/>
      <c r="L668" s="1"/>
      <c r="M668" s="1"/>
      <c r="N668" s="25"/>
      <c r="O668" s="25"/>
      <c r="P668" s="24"/>
      <c r="Q668" s="1"/>
      <c r="S668" s="24"/>
      <c r="T668" s="1"/>
      <c r="U668" s="1"/>
      <c r="V668" s="24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24"/>
      <c r="G669" s="1"/>
      <c r="H669" s="1"/>
      <c r="I669" s="1"/>
      <c r="J669" s="25"/>
      <c r="K669" s="1"/>
      <c r="L669" s="1"/>
      <c r="M669" s="1"/>
      <c r="N669" s="25"/>
      <c r="O669" s="25"/>
      <c r="P669" s="24"/>
      <c r="Q669" s="1"/>
      <c r="S669" s="24"/>
      <c r="T669" s="1"/>
      <c r="U669" s="1"/>
      <c r="V669" s="24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24"/>
      <c r="G670" s="1"/>
      <c r="H670" s="1"/>
      <c r="I670" s="1"/>
      <c r="J670" s="25"/>
      <c r="K670" s="1"/>
      <c r="L670" s="1"/>
      <c r="M670" s="1"/>
      <c r="N670" s="25"/>
      <c r="O670" s="25"/>
      <c r="P670" s="24"/>
      <c r="Q670" s="1"/>
      <c r="S670" s="24"/>
      <c r="T670" s="1"/>
      <c r="U670" s="1"/>
      <c r="V670" s="24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24"/>
      <c r="G671" s="1"/>
      <c r="H671" s="1"/>
      <c r="I671" s="1"/>
      <c r="J671" s="25"/>
      <c r="K671" s="1"/>
      <c r="L671" s="1"/>
      <c r="M671" s="1"/>
      <c r="N671" s="25"/>
      <c r="O671" s="25"/>
      <c r="P671" s="24"/>
      <c r="Q671" s="1"/>
      <c r="S671" s="24"/>
      <c r="T671" s="1"/>
      <c r="U671" s="1"/>
      <c r="V671" s="24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24"/>
      <c r="G672" s="1"/>
      <c r="H672" s="1"/>
      <c r="I672" s="1"/>
      <c r="J672" s="25"/>
      <c r="K672" s="1"/>
      <c r="L672" s="1"/>
      <c r="M672" s="1"/>
      <c r="N672" s="25"/>
      <c r="O672" s="25"/>
      <c r="P672" s="24"/>
      <c r="Q672" s="1"/>
      <c r="S672" s="24"/>
      <c r="T672" s="1"/>
      <c r="U672" s="1"/>
      <c r="V672" s="24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24"/>
      <c r="G673" s="1"/>
      <c r="H673" s="1"/>
      <c r="I673" s="1"/>
      <c r="J673" s="25"/>
      <c r="K673" s="1"/>
      <c r="L673" s="1"/>
      <c r="M673" s="1"/>
      <c r="N673" s="25"/>
      <c r="O673" s="25"/>
      <c r="P673" s="24"/>
      <c r="Q673" s="1"/>
      <c r="S673" s="24"/>
      <c r="T673" s="1"/>
      <c r="U673" s="1"/>
      <c r="V673" s="24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24"/>
      <c r="G674" s="1"/>
      <c r="H674" s="1"/>
      <c r="I674" s="1"/>
      <c r="J674" s="25"/>
      <c r="K674" s="1"/>
      <c r="L674" s="1"/>
      <c r="M674" s="1"/>
      <c r="N674" s="25"/>
      <c r="O674" s="25"/>
      <c r="P674" s="24"/>
      <c r="Q674" s="1"/>
      <c r="S674" s="24"/>
      <c r="T674" s="1"/>
      <c r="U674" s="1"/>
      <c r="V674" s="24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24"/>
      <c r="G675" s="1"/>
      <c r="H675" s="1"/>
      <c r="I675" s="1"/>
      <c r="J675" s="25"/>
      <c r="K675" s="1"/>
      <c r="L675" s="1"/>
      <c r="M675" s="1"/>
      <c r="N675" s="25"/>
      <c r="O675" s="25"/>
      <c r="P675" s="24"/>
      <c r="Q675" s="1"/>
      <c r="S675" s="24"/>
      <c r="T675" s="1"/>
      <c r="U675" s="1"/>
      <c r="V675" s="24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24"/>
      <c r="G676" s="1"/>
      <c r="H676" s="1"/>
      <c r="I676" s="1"/>
      <c r="J676" s="25"/>
      <c r="K676" s="1"/>
      <c r="L676" s="1"/>
      <c r="M676" s="1"/>
      <c r="N676" s="25"/>
      <c r="O676" s="25"/>
      <c r="P676" s="24"/>
      <c r="Q676" s="1"/>
      <c r="S676" s="24"/>
      <c r="T676" s="1"/>
      <c r="U676" s="1"/>
      <c r="V676" s="24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24"/>
      <c r="G677" s="1"/>
      <c r="H677" s="1"/>
      <c r="I677" s="1"/>
      <c r="J677" s="25"/>
      <c r="K677" s="1"/>
      <c r="L677" s="1"/>
      <c r="M677" s="1"/>
      <c r="N677" s="25"/>
      <c r="O677" s="25"/>
      <c r="P677" s="24"/>
      <c r="Q677" s="1"/>
      <c r="S677" s="24"/>
      <c r="T677" s="1"/>
      <c r="U677" s="1"/>
      <c r="V677" s="24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24"/>
      <c r="G678" s="1"/>
      <c r="H678" s="1"/>
      <c r="I678" s="1"/>
      <c r="J678" s="25"/>
      <c r="K678" s="1"/>
      <c r="L678" s="1"/>
      <c r="M678" s="1"/>
      <c r="N678" s="25"/>
      <c r="O678" s="25"/>
      <c r="P678" s="24"/>
      <c r="Q678" s="1"/>
      <c r="S678" s="24"/>
      <c r="T678" s="1"/>
      <c r="U678" s="1"/>
      <c r="V678" s="24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24"/>
      <c r="G679" s="1"/>
      <c r="H679" s="1"/>
      <c r="I679" s="1"/>
      <c r="J679" s="25"/>
      <c r="K679" s="1"/>
      <c r="L679" s="1"/>
      <c r="M679" s="1"/>
      <c r="N679" s="25"/>
      <c r="O679" s="25"/>
      <c r="P679" s="24"/>
      <c r="Q679" s="1"/>
      <c r="S679" s="24"/>
      <c r="T679" s="1"/>
      <c r="U679" s="1"/>
      <c r="V679" s="24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24"/>
      <c r="G680" s="1"/>
      <c r="H680" s="1"/>
      <c r="I680" s="1"/>
      <c r="J680" s="25"/>
      <c r="K680" s="1"/>
      <c r="L680" s="1"/>
      <c r="M680" s="1"/>
      <c r="N680" s="25"/>
      <c r="O680" s="25"/>
      <c r="P680" s="24"/>
      <c r="Q680" s="1"/>
      <c r="S680" s="24"/>
      <c r="T680" s="1"/>
      <c r="U680" s="1"/>
      <c r="V680" s="24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24"/>
      <c r="G681" s="1"/>
      <c r="H681" s="1"/>
      <c r="I681" s="1"/>
      <c r="J681" s="25"/>
      <c r="K681" s="1"/>
      <c r="L681" s="1"/>
      <c r="M681" s="1"/>
      <c r="N681" s="25"/>
      <c r="O681" s="25"/>
      <c r="P681" s="24"/>
      <c r="Q681" s="1"/>
      <c r="S681" s="24"/>
      <c r="T681" s="1"/>
      <c r="U681" s="1"/>
      <c r="V681" s="24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24"/>
      <c r="G682" s="1"/>
      <c r="H682" s="1"/>
      <c r="I682" s="1"/>
      <c r="J682" s="25"/>
      <c r="K682" s="1"/>
      <c r="L682" s="1"/>
      <c r="M682" s="1"/>
      <c r="N682" s="25"/>
      <c r="O682" s="25"/>
      <c r="P682" s="24"/>
      <c r="Q682" s="1"/>
      <c r="S682" s="24"/>
      <c r="T682" s="1"/>
      <c r="U682" s="1"/>
      <c r="V682" s="24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24"/>
      <c r="G683" s="1"/>
      <c r="H683" s="1"/>
      <c r="I683" s="1"/>
      <c r="J683" s="25"/>
      <c r="K683" s="1"/>
      <c r="L683" s="1"/>
      <c r="M683" s="1"/>
      <c r="N683" s="25"/>
      <c r="O683" s="25"/>
      <c r="P683" s="24"/>
      <c r="Q683" s="1"/>
      <c r="S683" s="24"/>
      <c r="T683" s="1"/>
      <c r="U683" s="1"/>
      <c r="V683" s="24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24"/>
      <c r="G684" s="1"/>
      <c r="H684" s="1"/>
      <c r="I684" s="1"/>
      <c r="J684" s="25"/>
      <c r="K684" s="1"/>
      <c r="L684" s="1"/>
      <c r="M684" s="1"/>
      <c r="N684" s="25"/>
      <c r="O684" s="25"/>
      <c r="P684" s="24"/>
      <c r="Q684" s="1"/>
      <c r="S684" s="24"/>
      <c r="T684" s="1"/>
      <c r="U684" s="1"/>
      <c r="V684" s="24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24"/>
      <c r="G685" s="1"/>
      <c r="H685" s="1"/>
      <c r="I685" s="1"/>
      <c r="J685" s="25"/>
      <c r="K685" s="1"/>
      <c r="L685" s="1"/>
      <c r="M685" s="1"/>
      <c r="N685" s="25"/>
      <c r="O685" s="25"/>
      <c r="P685" s="24"/>
      <c r="Q685" s="1"/>
      <c r="S685" s="24"/>
      <c r="T685" s="1"/>
      <c r="U685" s="1"/>
      <c r="V685" s="24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24"/>
      <c r="G686" s="1"/>
      <c r="H686" s="1"/>
      <c r="I686" s="1"/>
      <c r="J686" s="25"/>
      <c r="K686" s="1"/>
      <c r="L686" s="1"/>
      <c r="M686" s="1"/>
      <c r="N686" s="25"/>
      <c r="O686" s="25"/>
      <c r="P686" s="24"/>
      <c r="Q686" s="1"/>
      <c r="S686" s="24"/>
      <c r="T686" s="1"/>
      <c r="U686" s="1"/>
      <c r="V686" s="24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24"/>
      <c r="G687" s="1"/>
      <c r="H687" s="1"/>
      <c r="I687" s="1"/>
      <c r="J687" s="25"/>
      <c r="K687" s="1"/>
      <c r="L687" s="1"/>
      <c r="M687" s="1"/>
      <c r="N687" s="25"/>
      <c r="O687" s="25"/>
      <c r="P687" s="24"/>
      <c r="Q687" s="1"/>
      <c r="S687" s="24"/>
      <c r="T687" s="1"/>
      <c r="U687" s="1"/>
      <c r="V687" s="24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24"/>
      <c r="G688" s="1"/>
      <c r="H688" s="1"/>
      <c r="I688" s="1"/>
      <c r="J688" s="25"/>
      <c r="K688" s="1"/>
      <c r="L688" s="1"/>
      <c r="M688" s="1"/>
      <c r="N688" s="25"/>
      <c r="O688" s="25"/>
      <c r="P688" s="24"/>
      <c r="Q688" s="1"/>
      <c r="S688" s="24"/>
      <c r="T688" s="1"/>
      <c r="U688" s="1"/>
      <c r="V688" s="24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24"/>
      <c r="G689" s="1"/>
      <c r="H689" s="1"/>
      <c r="I689" s="1"/>
      <c r="J689" s="25"/>
      <c r="K689" s="1"/>
      <c r="L689" s="1"/>
      <c r="M689" s="1"/>
      <c r="N689" s="25"/>
      <c r="O689" s="25"/>
      <c r="P689" s="24"/>
      <c r="Q689" s="1"/>
      <c r="S689" s="24"/>
      <c r="T689" s="1"/>
      <c r="U689" s="1"/>
      <c r="V689" s="24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24"/>
      <c r="G690" s="1"/>
      <c r="H690" s="1"/>
      <c r="I690" s="1"/>
      <c r="J690" s="25"/>
      <c r="K690" s="1"/>
      <c r="L690" s="1"/>
      <c r="M690" s="1"/>
      <c r="N690" s="25"/>
      <c r="O690" s="25"/>
      <c r="P690" s="24"/>
      <c r="Q690" s="1"/>
      <c r="S690" s="24"/>
      <c r="T690" s="1"/>
      <c r="U690" s="1"/>
      <c r="V690" s="24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24"/>
      <c r="G691" s="1"/>
      <c r="H691" s="1"/>
      <c r="I691" s="1"/>
      <c r="J691" s="25"/>
      <c r="K691" s="1"/>
      <c r="L691" s="1"/>
      <c r="M691" s="1"/>
      <c r="N691" s="25"/>
      <c r="O691" s="25"/>
      <c r="P691" s="24"/>
      <c r="Q691" s="1"/>
      <c r="S691" s="24"/>
      <c r="T691" s="1"/>
      <c r="U691" s="1"/>
      <c r="V691" s="24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24"/>
      <c r="G692" s="1"/>
      <c r="H692" s="1"/>
      <c r="I692" s="1"/>
      <c r="J692" s="25"/>
      <c r="K692" s="1"/>
      <c r="L692" s="1"/>
      <c r="M692" s="1"/>
      <c r="N692" s="25"/>
      <c r="O692" s="25"/>
      <c r="P692" s="24"/>
      <c r="Q692" s="1"/>
      <c r="S692" s="24"/>
      <c r="T692" s="1"/>
      <c r="U692" s="1"/>
      <c r="V692" s="24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24"/>
      <c r="G693" s="1"/>
      <c r="H693" s="1"/>
      <c r="I693" s="1"/>
      <c r="J693" s="25"/>
      <c r="K693" s="1"/>
      <c r="L693" s="1"/>
      <c r="M693" s="1"/>
      <c r="N693" s="25"/>
      <c r="O693" s="25"/>
      <c r="P693" s="24"/>
      <c r="Q693" s="1"/>
      <c r="S693" s="24"/>
      <c r="T693" s="1"/>
      <c r="U693" s="1"/>
      <c r="V693" s="24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24"/>
      <c r="G694" s="1"/>
      <c r="H694" s="1"/>
      <c r="I694" s="1"/>
      <c r="J694" s="25"/>
      <c r="K694" s="1"/>
      <c r="L694" s="1"/>
      <c r="M694" s="1"/>
      <c r="N694" s="25"/>
      <c r="O694" s="25"/>
      <c r="P694" s="24"/>
      <c r="Q694" s="1"/>
      <c r="S694" s="24"/>
      <c r="T694" s="1"/>
      <c r="U694" s="1"/>
      <c r="V694" s="24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24"/>
      <c r="G695" s="1"/>
      <c r="H695" s="1"/>
      <c r="I695" s="1"/>
      <c r="J695" s="25"/>
      <c r="K695" s="1"/>
      <c r="L695" s="1"/>
      <c r="M695" s="1"/>
      <c r="N695" s="25"/>
      <c r="O695" s="25"/>
      <c r="P695" s="24"/>
      <c r="Q695" s="1"/>
      <c r="S695" s="24"/>
      <c r="T695" s="1"/>
      <c r="U695" s="1"/>
      <c r="V695" s="24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24"/>
      <c r="G696" s="1"/>
      <c r="H696" s="1"/>
      <c r="I696" s="1"/>
      <c r="J696" s="25"/>
      <c r="K696" s="1"/>
      <c r="L696" s="1"/>
      <c r="M696" s="1"/>
      <c r="N696" s="25"/>
      <c r="O696" s="25"/>
      <c r="P696" s="24"/>
      <c r="Q696" s="1"/>
      <c r="S696" s="24"/>
      <c r="T696" s="1"/>
      <c r="U696" s="1"/>
      <c r="V696" s="24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24"/>
      <c r="G697" s="1"/>
      <c r="H697" s="1"/>
      <c r="I697" s="1"/>
      <c r="J697" s="25"/>
      <c r="K697" s="1"/>
      <c r="L697" s="1"/>
      <c r="M697" s="1"/>
      <c r="N697" s="25"/>
      <c r="O697" s="25"/>
      <c r="P697" s="24"/>
      <c r="Q697" s="1"/>
      <c r="S697" s="24"/>
      <c r="T697" s="1"/>
      <c r="U697" s="1"/>
      <c r="V697" s="24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24"/>
      <c r="G698" s="1"/>
      <c r="H698" s="1"/>
      <c r="I698" s="1"/>
      <c r="J698" s="25"/>
      <c r="K698" s="1"/>
      <c r="L698" s="1"/>
      <c r="M698" s="1"/>
      <c r="N698" s="25"/>
      <c r="O698" s="25"/>
      <c r="P698" s="24"/>
      <c r="Q698" s="1"/>
      <c r="S698" s="24"/>
      <c r="T698" s="1"/>
      <c r="U698" s="1"/>
      <c r="V698" s="24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24"/>
      <c r="G699" s="1"/>
      <c r="H699" s="1"/>
      <c r="I699" s="1"/>
      <c r="J699" s="25"/>
      <c r="K699" s="1"/>
      <c r="L699" s="1"/>
      <c r="M699" s="1"/>
      <c r="N699" s="25"/>
      <c r="O699" s="25"/>
      <c r="P699" s="24"/>
      <c r="Q699" s="1"/>
      <c r="S699" s="24"/>
      <c r="T699" s="1"/>
      <c r="U699" s="1"/>
      <c r="V699" s="24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24"/>
      <c r="G700" s="1"/>
      <c r="H700" s="1"/>
      <c r="I700" s="1"/>
      <c r="J700" s="25"/>
      <c r="K700" s="1"/>
      <c r="L700" s="1"/>
      <c r="M700" s="1"/>
      <c r="N700" s="25"/>
      <c r="O700" s="25"/>
      <c r="P700" s="24"/>
      <c r="Q700" s="1"/>
      <c r="S700" s="24"/>
      <c r="T700" s="1"/>
      <c r="U700" s="1"/>
      <c r="V700" s="24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24"/>
      <c r="G701" s="1"/>
      <c r="H701" s="1"/>
      <c r="I701" s="1"/>
      <c r="J701" s="25"/>
      <c r="K701" s="1"/>
      <c r="L701" s="1"/>
      <c r="M701" s="1"/>
      <c r="N701" s="25"/>
      <c r="O701" s="25"/>
      <c r="P701" s="24"/>
      <c r="Q701" s="1"/>
      <c r="S701" s="24"/>
      <c r="T701" s="1"/>
      <c r="U701" s="1"/>
      <c r="V701" s="24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24"/>
      <c r="G702" s="1"/>
      <c r="H702" s="1"/>
      <c r="I702" s="1"/>
      <c r="J702" s="25"/>
      <c r="K702" s="1"/>
      <c r="L702" s="1"/>
      <c r="M702" s="1"/>
      <c r="N702" s="25"/>
      <c r="O702" s="25"/>
      <c r="P702" s="24"/>
      <c r="Q702" s="1"/>
      <c r="S702" s="24"/>
      <c r="T702" s="1"/>
      <c r="U702" s="1"/>
      <c r="V702" s="24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24"/>
      <c r="G703" s="1"/>
      <c r="H703" s="1"/>
      <c r="I703" s="1"/>
      <c r="J703" s="25"/>
      <c r="K703" s="1"/>
      <c r="L703" s="1"/>
      <c r="M703" s="1"/>
      <c r="N703" s="25"/>
      <c r="O703" s="25"/>
      <c r="P703" s="24"/>
      <c r="Q703" s="1"/>
      <c r="S703" s="24"/>
      <c r="T703" s="1"/>
      <c r="U703" s="1"/>
      <c r="V703" s="24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24"/>
      <c r="G704" s="1"/>
      <c r="H704" s="1"/>
      <c r="I704" s="1"/>
      <c r="J704" s="25"/>
      <c r="K704" s="1"/>
      <c r="L704" s="1"/>
      <c r="M704" s="1"/>
      <c r="N704" s="25"/>
      <c r="O704" s="25"/>
      <c r="P704" s="24"/>
      <c r="Q704" s="1"/>
      <c r="S704" s="24"/>
      <c r="T704" s="1"/>
      <c r="U704" s="1"/>
      <c r="V704" s="24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24"/>
      <c r="G705" s="1"/>
      <c r="H705" s="1"/>
      <c r="I705" s="1"/>
      <c r="J705" s="25"/>
      <c r="K705" s="1"/>
      <c r="L705" s="1"/>
      <c r="M705" s="1"/>
      <c r="N705" s="25"/>
      <c r="O705" s="25"/>
      <c r="P705" s="24"/>
      <c r="Q705" s="1"/>
      <c r="S705" s="24"/>
      <c r="T705" s="1"/>
      <c r="U705" s="1"/>
      <c r="V705" s="24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24"/>
      <c r="G706" s="1"/>
      <c r="H706" s="1"/>
      <c r="I706" s="1"/>
      <c r="J706" s="25"/>
      <c r="K706" s="1"/>
      <c r="L706" s="1"/>
      <c r="M706" s="1"/>
      <c r="N706" s="25"/>
      <c r="O706" s="25"/>
      <c r="P706" s="24"/>
      <c r="Q706" s="1"/>
      <c r="S706" s="24"/>
      <c r="T706" s="1"/>
      <c r="U706" s="1"/>
      <c r="V706" s="24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24"/>
      <c r="G707" s="1"/>
      <c r="H707" s="1"/>
      <c r="I707" s="1"/>
      <c r="J707" s="25"/>
      <c r="K707" s="1"/>
      <c r="L707" s="1"/>
      <c r="M707" s="1"/>
      <c r="N707" s="25"/>
      <c r="O707" s="25"/>
      <c r="P707" s="24"/>
      <c r="Q707" s="1"/>
      <c r="S707" s="24"/>
      <c r="T707" s="1"/>
      <c r="U707" s="1"/>
      <c r="V707" s="24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24"/>
      <c r="G708" s="1"/>
      <c r="H708" s="1"/>
      <c r="I708" s="1"/>
      <c r="J708" s="25"/>
      <c r="K708" s="1"/>
      <c r="L708" s="1"/>
      <c r="M708" s="1"/>
      <c r="N708" s="25"/>
      <c r="O708" s="25"/>
      <c r="P708" s="24"/>
      <c r="Q708" s="1"/>
      <c r="S708" s="24"/>
      <c r="T708" s="1"/>
      <c r="U708" s="1"/>
      <c r="V708" s="24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24"/>
      <c r="G709" s="1"/>
      <c r="H709" s="1"/>
      <c r="I709" s="1"/>
      <c r="J709" s="25"/>
      <c r="K709" s="1"/>
      <c r="L709" s="1"/>
      <c r="M709" s="1"/>
      <c r="N709" s="25"/>
      <c r="O709" s="25"/>
      <c r="P709" s="24"/>
      <c r="Q709" s="1"/>
      <c r="S709" s="24"/>
      <c r="T709" s="1"/>
      <c r="U709" s="1"/>
      <c r="V709" s="24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24"/>
      <c r="G710" s="1"/>
      <c r="H710" s="1"/>
      <c r="I710" s="1"/>
      <c r="J710" s="25"/>
      <c r="K710" s="1"/>
      <c r="L710" s="1"/>
      <c r="M710" s="1"/>
      <c r="N710" s="25"/>
      <c r="O710" s="25"/>
      <c r="P710" s="24"/>
      <c r="Q710" s="1"/>
      <c r="S710" s="24"/>
      <c r="T710" s="1"/>
      <c r="U710" s="1"/>
      <c r="V710" s="24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24"/>
      <c r="G711" s="1"/>
      <c r="H711" s="1"/>
      <c r="I711" s="1"/>
      <c r="J711" s="25"/>
      <c r="K711" s="1"/>
      <c r="L711" s="1"/>
      <c r="M711" s="1"/>
      <c r="N711" s="25"/>
      <c r="O711" s="25"/>
      <c r="P711" s="24"/>
      <c r="Q711" s="1"/>
      <c r="S711" s="24"/>
      <c r="T711" s="1"/>
      <c r="U711" s="1"/>
      <c r="V711" s="24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24"/>
      <c r="G712" s="1"/>
      <c r="H712" s="1"/>
      <c r="I712" s="1"/>
      <c r="J712" s="25"/>
      <c r="K712" s="1"/>
      <c r="L712" s="1"/>
      <c r="M712" s="1"/>
      <c r="N712" s="25"/>
      <c r="O712" s="25"/>
      <c r="P712" s="24"/>
      <c r="Q712" s="1"/>
      <c r="S712" s="24"/>
      <c r="T712" s="1"/>
      <c r="U712" s="1"/>
      <c r="V712" s="24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24"/>
      <c r="G713" s="1"/>
      <c r="H713" s="1"/>
      <c r="I713" s="1"/>
      <c r="J713" s="25"/>
      <c r="K713" s="1"/>
      <c r="L713" s="1"/>
      <c r="M713" s="1"/>
      <c r="N713" s="25"/>
      <c r="O713" s="25"/>
      <c r="P713" s="24"/>
      <c r="Q713" s="1"/>
      <c r="S713" s="24"/>
      <c r="T713" s="1"/>
      <c r="U713" s="1"/>
      <c r="V713" s="24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24"/>
      <c r="G714" s="1"/>
      <c r="H714" s="1"/>
      <c r="I714" s="1"/>
      <c r="J714" s="25"/>
      <c r="K714" s="1"/>
      <c r="L714" s="1"/>
      <c r="M714" s="1"/>
      <c r="N714" s="25"/>
      <c r="O714" s="25"/>
      <c r="P714" s="24"/>
      <c r="Q714" s="1"/>
      <c r="S714" s="24"/>
      <c r="T714" s="1"/>
      <c r="U714" s="1"/>
      <c r="V714" s="24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24"/>
      <c r="G715" s="1"/>
      <c r="H715" s="1"/>
      <c r="I715" s="1"/>
      <c r="J715" s="25"/>
      <c r="K715" s="1"/>
      <c r="L715" s="1"/>
      <c r="M715" s="1"/>
      <c r="N715" s="25"/>
      <c r="O715" s="25"/>
      <c r="P715" s="24"/>
      <c r="Q715" s="1"/>
      <c r="S715" s="24"/>
      <c r="T715" s="1"/>
      <c r="U715" s="1"/>
      <c r="V715" s="24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24"/>
      <c r="G716" s="1"/>
      <c r="H716" s="1"/>
      <c r="I716" s="1"/>
      <c r="J716" s="25"/>
      <c r="K716" s="1"/>
      <c r="L716" s="1"/>
      <c r="M716" s="1"/>
      <c r="N716" s="25"/>
      <c r="O716" s="25"/>
      <c r="P716" s="24"/>
      <c r="Q716" s="1"/>
      <c r="S716" s="24"/>
      <c r="T716" s="1"/>
      <c r="U716" s="1"/>
      <c r="V716" s="24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24"/>
      <c r="G717" s="1"/>
      <c r="H717" s="1"/>
      <c r="I717" s="1"/>
      <c r="J717" s="25"/>
      <c r="K717" s="1"/>
      <c r="L717" s="1"/>
      <c r="M717" s="1"/>
      <c r="N717" s="25"/>
      <c r="O717" s="25"/>
      <c r="P717" s="24"/>
      <c r="Q717" s="1"/>
      <c r="S717" s="24"/>
      <c r="T717" s="1"/>
      <c r="U717" s="1"/>
      <c r="V717" s="24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24"/>
      <c r="G718" s="1"/>
      <c r="H718" s="1"/>
      <c r="I718" s="1"/>
      <c r="J718" s="25"/>
      <c r="K718" s="1"/>
      <c r="L718" s="1"/>
      <c r="M718" s="1"/>
      <c r="N718" s="25"/>
      <c r="O718" s="25"/>
      <c r="P718" s="24"/>
      <c r="Q718" s="1"/>
      <c r="S718" s="24"/>
      <c r="T718" s="1"/>
      <c r="U718" s="1"/>
      <c r="V718" s="24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24"/>
      <c r="G719" s="1"/>
      <c r="H719" s="1"/>
      <c r="I719" s="1"/>
      <c r="J719" s="25"/>
      <c r="K719" s="1"/>
      <c r="L719" s="1"/>
      <c r="M719" s="1"/>
      <c r="N719" s="25"/>
      <c r="O719" s="25"/>
      <c r="P719" s="24"/>
      <c r="Q719" s="1"/>
      <c r="S719" s="24"/>
      <c r="T719" s="1"/>
      <c r="U719" s="1"/>
      <c r="V719" s="24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24"/>
      <c r="G720" s="1"/>
      <c r="H720" s="1"/>
      <c r="I720" s="1"/>
      <c r="J720" s="25"/>
      <c r="K720" s="1"/>
      <c r="L720" s="1"/>
      <c r="M720" s="1"/>
      <c r="N720" s="25"/>
      <c r="O720" s="25"/>
      <c r="P720" s="24"/>
      <c r="Q720" s="1"/>
      <c r="S720" s="24"/>
      <c r="T720" s="1"/>
      <c r="U720" s="1"/>
      <c r="V720" s="24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24"/>
      <c r="G721" s="1"/>
      <c r="H721" s="1"/>
      <c r="I721" s="1"/>
      <c r="J721" s="25"/>
      <c r="K721" s="1"/>
      <c r="L721" s="1"/>
      <c r="M721" s="1"/>
      <c r="N721" s="25"/>
      <c r="O721" s="25"/>
      <c r="P721" s="24"/>
      <c r="Q721" s="1"/>
      <c r="S721" s="24"/>
      <c r="T721" s="1"/>
      <c r="U721" s="1"/>
      <c r="V721" s="24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24"/>
      <c r="G722" s="1"/>
      <c r="H722" s="1"/>
      <c r="I722" s="1"/>
      <c r="J722" s="25"/>
      <c r="K722" s="1"/>
      <c r="L722" s="1"/>
      <c r="M722" s="1"/>
      <c r="N722" s="25"/>
      <c r="O722" s="25"/>
      <c r="P722" s="24"/>
      <c r="Q722" s="1"/>
      <c r="S722" s="24"/>
      <c r="T722" s="1"/>
      <c r="U722" s="1"/>
      <c r="V722" s="24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24"/>
      <c r="G723" s="1"/>
      <c r="H723" s="1"/>
      <c r="I723" s="1"/>
      <c r="J723" s="25"/>
      <c r="K723" s="1"/>
      <c r="L723" s="1"/>
      <c r="M723" s="1"/>
      <c r="N723" s="25"/>
      <c r="O723" s="25"/>
      <c r="P723" s="24"/>
      <c r="Q723" s="1"/>
      <c r="S723" s="24"/>
      <c r="T723" s="1"/>
      <c r="U723" s="1"/>
      <c r="V723" s="24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24"/>
      <c r="G724" s="1"/>
      <c r="H724" s="1"/>
      <c r="I724" s="1"/>
      <c r="J724" s="25"/>
      <c r="K724" s="1"/>
      <c r="L724" s="1"/>
      <c r="M724" s="1"/>
      <c r="N724" s="25"/>
      <c r="O724" s="25"/>
      <c r="P724" s="24"/>
      <c r="Q724" s="1"/>
      <c r="S724" s="24"/>
      <c r="T724" s="1"/>
      <c r="U724" s="1"/>
      <c r="V724" s="24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24"/>
      <c r="G725" s="1"/>
      <c r="H725" s="1"/>
      <c r="I725" s="1"/>
      <c r="J725" s="25"/>
      <c r="K725" s="1"/>
      <c r="L725" s="1"/>
      <c r="M725" s="1"/>
      <c r="N725" s="25"/>
      <c r="O725" s="25"/>
      <c r="P725" s="24"/>
      <c r="Q725" s="1"/>
      <c r="S725" s="24"/>
      <c r="T725" s="1"/>
      <c r="U725" s="1"/>
      <c r="V725" s="24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24"/>
      <c r="G726" s="1"/>
      <c r="H726" s="1"/>
      <c r="I726" s="1"/>
      <c r="J726" s="25"/>
      <c r="K726" s="1"/>
      <c r="L726" s="1"/>
      <c r="M726" s="1"/>
      <c r="N726" s="25"/>
      <c r="O726" s="25"/>
      <c r="P726" s="24"/>
      <c r="Q726" s="1"/>
      <c r="S726" s="24"/>
      <c r="T726" s="1"/>
      <c r="U726" s="1"/>
      <c r="V726" s="24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24"/>
      <c r="G727" s="1"/>
      <c r="H727" s="1"/>
      <c r="I727" s="1"/>
      <c r="J727" s="25"/>
      <c r="K727" s="1"/>
      <c r="L727" s="1"/>
      <c r="M727" s="1"/>
      <c r="N727" s="25"/>
      <c r="O727" s="25"/>
      <c r="P727" s="24"/>
      <c r="Q727" s="1"/>
      <c r="S727" s="24"/>
      <c r="T727" s="1"/>
      <c r="U727" s="1"/>
      <c r="V727" s="24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24"/>
      <c r="G728" s="1"/>
      <c r="H728" s="1"/>
      <c r="I728" s="1"/>
      <c r="J728" s="25"/>
      <c r="K728" s="1"/>
      <c r="L728" s="1"/>
      <c r="M728" s="1"/>
      <c r="N728" s="25"/>
      <c r="O728" s="25"/>
      <c r="P728" s="24"/>
      <c r="Q728" s="1"/>
      <c r="S728" s="24"/>
      <c r="T728" s="1"/>
      <c r="U728" s="1"/>
      <c r="V728" s="24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24"/>
      <c r="G729" s="1"/>
      <c r="H729" s="1"/>
      <c r="I729" s="1"/>
      <c r="J729" s="25"/>
      <c r="K729" s="1"/>
      <c r="L729" s="1"/>
      <c r="M729" s="1"/>
      <c r="N729" s="25"/>
      <c r="O729" s="25"/>
      <c r="P729" s="24"/>
      <c r="Q729" s="1"/>
      <c r="S729" s="24"/>
      <c r="T729" s="1"/>
      <c r="U729" s="1"/>
      <c r="V729" s="24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24"/>
      <c r="G730" s="1"/>
      <c r="H730" s="1"/>
      <c r="I730" s="1"/>
      <c r="J730" s="25"/>
      <c r="K730" s="1"/>
      <c r="L730" s="1"/>
      <c r="M730" s="1"/>
      <c r="N730" s="25"/>
      <c r="O730" s="25"/>
      <c r="P730" s="24"/>
      <c r="Q730" s="1"/>
      <c r="S730" s="24"/>
      <c r="T730" s="1"/>
      <c r="U730" s="1"/>
      <c r="V730" s="24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24"/>
      <c r="G731" s="1"/>
      <c r="H731" s="1"/>
      <c r="I731" s="1"/>
      <c r="J731" s="25"/>
      <c r="K731" s="1"/>
      <c r="L731" s="1"/>
      <c r="M731" s="1"/>
      <c r="N731" s="25"/>
      <c r="O731" s="25"/>
      <c r="P731" s="24"/>
      <c r="Q731" s="1"/>
      <c r="S731" s="24"/>
      <c r="T731" s="1"/>
      <c r="U731" s="1"/>
      <c r="V731" s="24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24"/>
      <c r="G732" s="1"/>
      <c r="H732" s="1"/>
      <c r="I732" s="1"/>
      <c r="J732" s="25"/>
      <c r="K732" s="1"/>
      <c r="L732" s="1"/>
      <c r="M732" s="1"/>
      <c r="N732" s="25"/>
      <c r="O732" s="25"/>
      <c r="P732" s="24"/>
      <c r="Q732" s="1"/>
      <c r="S732" s="24"/>
      <c r="T732" s="1"/>
      <c r="U732" s="1"/>
      <c r="V732" s="24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24"/>
      <c r="G733" s="1"/>
      <c r="H733" s="1"/>
      <c r="I733" s="1"/>
      <c r="J733" s="25"/>
      <c r="K733" s="1"/>
      <c r="L733" s="1"/>
      <c r="M733" s="1"/>
      <c r="N733" s="25"/>
      <c r="O733" s="25"/>
      <c r="P733" s="24"/>
      <c r="Q733" s="1"/>
      <c r="S733" s="24"/>
      <c r="T733" s="1"/>
      <c r="U733" s="1"/>
      <c r="V733" s="24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24"/>
      <c r="G734" s="1"/>
      <c r="H734" s="1"/>
      <c r="I734" s="1"/>
      <c r="J734" s="25"/>
      <c r="K734" s="1"/>
      <c r="L734" s="1"/>
      <c r="M734" s="1"/>
      <c r="N734" s="25"/>
      <c r="O734" s="25"/>
      <c r="P734" s="24"/>
      <c r="Q734" s="1"/>
      <c r="S734" s="24"/>
      <c r="T734" s="1"/>
      <c r="U734" s="1"/>
      <c r="V734" s="24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24"/>
      <c r="G735" s="1"/>
      <c r="H735" s="1"/>
      <c r="I735" s="1"/>
      <c r="J735" s="25"/>
      <c r="K735" s="1"/>
      <c r="L735" s="1"/>
      <c r="M735" s="1"/>
      <c r="N735" s="25"/>
      <c r="O735" s="25"/>
      <c r="P735" s="24"/>
      <c r="Q735" s="1"/>
      <c r="S735" s="24"/>
      <c r="T735" s="1"/>
      <c r="U735" s="1"/>
      <c r="V735" s="24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24"/>
      <c r="G736" s="1"/>
      <c r="H736" s="1"/>
      <c r="I736" s="1"/>
      <c r="J736" s="25"/>
      <c r="K736" s="1"/>
      <c r="L736" s="1"/>
      <c r="M736" s="1"/>
      <c r="N736" s="25"/>
      <c r="O736" s="25"/>
      <c r="P736" s="24"/>
      <c r="Q736" s="1"/>
      <c r="S736" s="24"/>
      <c r="T736" s="1"/>
      <c r="U736" s="1"/>
      <c r="V736" s="24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24"/>
      <c r="G737" s="1"/>
      <c r="H737" s="1"/>
      <c r="I737" s="1"/>
      <c r="J737" s="25"/>
      <c r="K737" s="1"/>
      <c r="L737" s="1"/>
      <c r="M737" s="1"/>
      <c r="N737" s="25"/>
      <c r="O737" s="25"/>
      <c r="P737" s="24"/>
      <c r="Q737" s="1"/>
      <c r="S737" s="24"/>
      <c r="T737" s="1"/>
      <c r="U737" s="1"/>
      <c r="V737" s="24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24"/>
      <c r="G738" s="1"/>
      <c r="H738" s="1"/>
      <c r="I738" s="1"/>
      <c r="J738" s="25"/>
      <c r="K738" s="1"/>
      <c r="L738" s="1"/>
      <c r="M738" s="1"/>
      <c r="N738" s="25"/>
      <c r="O738" s="25"/>
      <c r="P738" s="24"/>
      <c r="Q738" s="1"/>
      <c r="S738" s="24"/>
      <c r="T738" s="1"/>
      <c r="U738" s="1"/>
      <c r="V738" s="24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24"/>
      <c r="G739" s="1"/>
      <c r="H739" s="1"/>
      <c r="I739" s="1"/>
      <c r="J739" s="25"/>
      <c r="K739" s="1"/>
      <c r="L739" s="1"/>
      <c r="M739" s="1"/>
      <c r="N739" s="25"/>
      <c r="O739" s="25"/>
      <c r="P739" s="24"/>
      <c r="Q739" s="1"/>
      <c r="S739" s="24"/>
      <c r="T739" s="1"/>
      <c r="U739" s="1"/>
      <c r="V739" s="24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24"/>
      <c r="G740" s="1"/>
      <c r="H740" s="1"/>
      <c r="I740" s="1"/>
      <c r="J740" s="25"/>
      <c r="K740" s="1"/>
      <c r="L740" s="1"/>
      <c r="M740" s="1"/>
      <c r="N740" s="25"/>
      <c r="O740" s="25"/>
      <c r="P740" s="24"/>
      <c r="Q740" s="1"/>
      <c r="S740" s="24"/>
      <c r="T740" s="1"/>
      <c r="U740" s="1"/>
      <c r="V740" s="24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24"/>
      <c r="G741" s="1"/>
      <c r="H741" s="1"/>
      <c r="I741" s="1"/>
      <c r="J741" s="25"/>
      <c r="K741" s="1"/>
      <c r="L741" s="1"/>
      <c r="M741" s="1"/>
      <c r="N741" s="25"/>
      <c r="O741" s="25"/>
      <c r="P741" s="24"/>
      <c r="Q741" s="1"/>
      <c r="S741" s="24"/>
      <c r="T741" s="1"/>
      <c r="U741" s="1"/>
      <c r="V741" s="24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24"/>
      <c r="G742" s="1"/>
      <c r="H742" s="1"/>
      <c r="I742" s="1"/>
      <c r="J742" s="25"/>
      <c r="K742" s="1"/>
      <c r="L742" s="1"/>
      <c r="M742" s="1"/>
      <c r="N742" s="25"/>
      <c r="O742" s="25"/>
      <c r="P742" s="24"/>
      <c r="Q742" s="1"/>
      <c r="S742" s="24"/>
      <c r="T742" s="1"/>
      <c r="U742" s="1"/>
      <c r="V742" s="24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24"/>
      <c r="G743" s="1"/>
      <c r="H743" s="1"/>
      <c r="I743" s="1"/>
      <c r="J743" s="25"/>
      <c r="K743" s="1"/>
      <c r="L743" s="1"/>
      <c r="M743" s="1"/>
      <c r="N743" s="25"/>
      <c r="O743" s="25"/>
      <c r="P743" s="24"/>
      <c r="Q743" s="1"/>
      <c r="S743" s="24"/>
      <c r="T743" s="1"/>
      <c r="U743" s="1"/>
      <c r="V743" s="24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24"/>
      <c r="G744" s="1"/>
      <c r="H744" s="1"/>
      <c r="I744" s="1"/>
      <c r="J744" s="25"/>
      <c r="K744" s="1"/>
      <c r="L744" s="1"/>
      <c r="M744" s="1"/>
      <c r="N744" s="25"/>
      <c r="O744" s="25"/>
      <c r="P744" s="24"/>
      <c r="Q744" s="1"/>
      <c r="S744" s="24"/>
      <c r="T744" s="1"/>
      <c r="U744" s="1"/>
      <c r="V744" s="24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24"/>
      <c r="G745" s="1"/>
      <c r="H745" s="1"/>
      <c r="I745" s="1"/>
      <c r="J745" s="25"/>
      <c r="K745" s="1"/>
      <c r="L745" s="1"/>
      <c r="M745" s="1"/>
      <c r="N745" s="25"/>
      <c r="O745" s="25"/>
      <c r="P745" s="24"/>
      <c r="Q745" s="1"/>
      <c r="S745" s="24"/>
      <c r="T745" s="1"/>
      <c r="U745" s="1"/>
      <c r="V745" s="24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24"/>
      <c r="G746" s="1"/>
      <c r="H746" s="1"/>
      <c r="I746" s="1"/>
      <c r="J746" s="25"/>
      <c r="K746" s="1"/>
      <c r="L746" s="1"/>
      <c r="M746" s="1"/>
      <c r="N746" s="25"/>
      <c r="O746" s="25"/>
      <c r="P746" s="24"/>
      <c r="Q746" s="1"/>
      <c r="S746" s="24"/>
      <c r="T746" s="1"/>
      <c r="U746" s="1"/>
      <c r="V746" s="24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24"/>
      <c r="G747" s="1"/>
      <c r="H747" s="1"/>
      <c r="I747" s="1"/>
      <c r="J747" s="25"/>
      <c r="K747" s="1"/>
      <c r="L747" s="1"/>
      <c r="M747" s="1"/>
      <c r="N747" s="25"/>
      <c r="O747" s="25"/>
      <c r="P747" s="24"/>
      <c r="Q747" s="1"/>
      <c r="S747" s="24"/>
      <c r="T747" s="1"/>
      <c r="U747" s="1"/>
      <c r="V747" s="24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24"/>
      <c r="G748" s="1"/>
      <c r="H748" s="1"/>
      <c r="I748" s="1"/>
      <c r="J748" s="25"/>
      <c r="K748" s="1"/>
      <c r="L748" s="1"/>
      <c r="M748" s="1"/>
      <c r="N748" s="25"/>
      <c r="O748" s="25"/>
      <c r="P748" s="24"/>
      <c r="Q748" s="1"/>
      <c r="S748" s="24"/>
      <c r="T748" s="1"/>
      <c r="U748" s="1"/>
      <c r="V748" s="24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24"/>
      <c r="G749" s="1"/>
      <c r="H749" s="1"/>
      <c r="I749" s="1"/>
      <c r="J749" s="25"/>
      <c r="K749" s="1"/>
      <c r="L749" s="1"/>
      <c r="M749" s="1"/>
      <c r="N749" s="25"/>
      <c r="O749" s="25"/>
      <c r="P749" s="24"/>
      <c r="Q749" s="1"/>
      <c r="S749" s="24"/>
      <c r="T749" s="1"/>
      <c r="U749" s="1"/>
      <c r="V749" s="24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24"/>
      <c r="G750" s="1"/>
      <c r="H750" s="1"/>
      <c r="I750" s="1"/>
      <c r="J750" s="25"/>
      <c r="K750" s="1"/>
      <c r="L750" s="1"/>
      <c r="M750" s="1"/>
      <c r="N750" s="25"/>
      <c r="O750" s="25"/>
      <c r="P750" s="24"/>
      <c r="Q750" s="1"/>
      <c r="S750" s="24"/>
      <c r="T750" s="1"/>
      <c r="U750" s="1"/>
      <c r="V750" s="24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24"/>
      <c r="G751" s="1"/>
      <c r="H751" s="1"/>
      <c r="I751" s="1"/>
      <c r="J751" s="25"/>
      <c r="K751" s="1"/>
      <c r="L751" s="1"/>
      <c r="M751" s="1"/>
      <c r="N751" s="25"/>
      <c r="O751" s="25"/>
      <c r="P751" s="24"/>
      <c r="Q751" s="1"/>
      <c r="S751" s="24"/>
      <c r="T751" s="1"/>
      <c r="U751" s="1"/>
      <c r="V751" s="24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24"/>
      <c r="G752" s="1"/>
      <c r="H752" s="1"/>
      <c r="I752" s="1"/>
      <c r="J752" s="25"/>
      <c r="K752" s="1"/>
      <c r="L752" s="1"/>
      <c r="M752" s="1"/>
      <c r="N752" s="25"/>
      <c r="O752" s="25"/>
      <c r="P752" s="24"/>
      <c r="Q752" s="1"/>
      <c r="S752" s="24"/>
      <c r="T752" s="1"/>
      <c r="U752" s="1"/>
      <c r="V752" s="24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24"/>
      <c r="G753" s="1"/>
      <c r="H753" s="1"/>
      <c r="I753" s="1"/>
      <c r="J753" s="25"/>
      <c r="K753" s="1"/>
      <c r="L753" s="1"/>
      <c r="M753" s="1"/>
      <c r="N753" s="25"/>
      <c r="O753" s="25"/>
      <c r="P753" s="24"/>
      <c r="Q753" s="1"/>
      <c r="S753" s="24"/>
      <c r="T753" s="1"/>
      <c r="U753" s="1"/>
      <c r="V753" s="24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24"/>
      <c r="G754" s="1"/>
      <c r="H754" s="1"/>
      <c r="I754" s="1"/>
      <c r="J754" s="25"/>
      <c r="K754" s="1"/>
      <c r="L754" s="1"/>
      <c r="M754" s="1"/>
      <c r="N754" s="25"/>
      <c r="O754" s="25"/>
      <c r="P754" s="24"/>
      <c r="Q754" s="1"/>
      <c r="S754" s="24"/>
      <c r="T754" s="1"/>
      <c r="U754" s="1"/>
      <c r="V754" s="24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24"/>
      <c r="G755" s="1"/>
      <c r="H755" s="1"/>
      <c r="I755" s="1"/>
      <c r="J755" s="25"/>
      <c r="K755" s="1"/>
      <c r="L755" s="1"/>
      <c r="M755" s="1"/>
      <c r="N755" s="25"/>
      <c r="O755" s="25"/>
      <c r="P755" s="24"/>
      <c r="Q755" s="1"/>
      <c r="S755" s="24"/>
      <c r="T755" s="1"/>
      <c r="U755" s="1"/>
      <c r="V755" s="24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24"/>
      <c r="G756" s="1"/>
      <c r="H756" s="1"/>
      <c r="I756" s="1"/>
      <c r="J756" s="25"/>
      <c r="K756" s="1"/>
      <c r="L756" s="1"/>
      <c r="M756" s="1"/>
      <c r="N756" s="25"/>
      <c r="O756" s="25"/>
      <c r="P756" s="24"/>
      <c r="Q756" s="1"/>
      <c r="S756" s="24"/>
      <c r="T756" s="1"/>
      <c r="U756" s="1"/>
      <c r="V756" s="24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24"/>
      <c r="G757" s="1"/>
      <c r="H757" s="1"/>
      <c r="I757" s="1"/>
      <c r="J757" s="25"/>
      <c r="K757" s="1"/>
      <c r="L757" s="1"/>
      <c r="M757" s="1"/>
      <c r="N757" s="25"/>
      <c r="O757" s="25"/>
      <c r="P757" s="24"/>
      <c r="Q757" s="1"/>
      <c r="S757" s="24"/>
      <c r="T757" s="1"/>
      <c r="U757" s="1"/>
      <c r="V757" s="24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24"/>
      <c r="G758" s="1"/>
      <c r="H758" s="1"/>
      <c r="I758" s="1"/>
      <c r="J758" s="25"/>
      <c r="K758" s="1"/>
      <c r="L758" s="1"/>
      <c r="M758" s="1"/>
      <c r="N758" s="25"/>
      <c r="O758" s="25"/>
      <c r="P758" s="24"/>
      <c r="Q758" s="1"/>
      <c r="S758" s="24"/>
      <c r="T758" s="1"/>
      <c r="U758" s="1"/>
      <c r="V758" s="24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24"/>
      <c r="G759" s="1"/>
      <c r="H759" s="1"/>
      <c r="I759" s="1"/>
      <c r="J759" s="25"/>
      <c r="K759" s="1"/>
      <c r="L759" s="1"/>
      <c r="M759" s="1"/>
      <c r="N759" s="25"/>
      <c r="O759" s="25"/>
      <c r="P759" s="24"/>
      <c r="Q759" s="1"/>
      <c r="S759" s="24"/>
      <c r="T759" s="1"/>
      <c r="U759" s="1"/>
      <c r="V759" s="24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24"/>
      <c r="G760" s="1"/>
      <c r="H760" s="1"/>
      <c r="I760" s="1"/>
      <c r="J760" s="25"/>
      <c r="K760" s="1"/>
      <c r="L760" s="1"/>
      <c r="M760" s="1"/>
      <c r="N760" s="25"/>
      <c r="O760" s="25"/>
      <c r="P760" s="24"/>
      <c r="Q760" s="1"/>
      <c r="S760" s="24"/>
      <c r="T760" s="1"/>
      <c r="U760" s="1"/>
      <c r="V760" s="24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24"/>
      <c r="G761" s="1"/>
      <c r="H761" s="1"/>
      <c r="I761" s="1"/>
      <c r="J761" s="25"/>
      <c r="K761" s="1"/>
      <c r="L761" s="1"/>
      <c r="M761" s="1"/>
      <c r="N761" s="25"/>
      <c r="O761" s="25"/>
      <c r="P761" s="24"/>
      <c r="Q761" s="1"/>
      <c r="S761" s="24"/>
      <c r="T761" s="1"/>
      <c r="U761" s="1"/>
      <c r="V761" s="24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24"/>
      <c r="G762" s="1"/>
      <c r="H762" s="1"/>
      <c r="I762" s="1"/>
      <c r="J762" s="25"/>
      <c r="K762" s="1"/>
      <c r="L762" s="1"/>
      <c r="M762" s="1"/>
      <c r="N762" s="25"/>
      <c r="O762" s="25"/>
      <c r="P762" s="24"/>
      <c r="Q762" s="1"/>
      <c r="S762" s="24"/>
      <c r="T762" s="1"/>
      <c r="U762" s="1"/>
      <c r="V762" s="24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24"/>
      <c r="G763" s="1"/>
      <c r="H763" s="1"/>
      <c r="I763" s="1"/>
      <c r="J763" s="25"/>
      <c r="K763" s="1"/>
      <c r="L763" s="1"/>
      <c r="M763" s="1"/>
      <c r="N763" s="25"/>
      <c r="O763" s="25"/>
      <c r="P763" s="24"/>
      <c r="Q763" s="1"/>
      <c r="S763" s="24"/>
      <c r="T763" s="1"/>
      <c r="U763" s="1"/>
      <c r="V763" s="24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24"/>
      <c r="G764" s="1"/>
      <c r="H764" s="1"/>
      <c r="I764" s="1"/>
      <c r="J764" s="25"/>
      <c r="K764" s="1"/>
      <c r="L764" s="1"/>
      <c r="M764" s="1"/>
      <c r="N764" s="25"/>
      <c r="O764" s="25"/>
      <c r="P764" s="24"/>
      <c r="Q764" s="1"/>
      <c r="S764" s="24"/>
      <c r="T764" s="1"/>
      <c r="U764" s="1"/>
      <c r="V764" s="24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24"/>
      <c r="G765" s="1"/>
      <c r="H765" s="1"/>
      <c r="I765" s="1"/>
      <c r="J765" s="25"/>
      <c r="K765" s="1"/>
      <c r="L765" s="1"/>
      <c r="M765" s="1"/>
      <c r="N765" s="25"/>
      <c r="O765" s="25"/>
      <c r="P765" s="24"/>
      <c r="Q765" s="1"/>
      <c r="S765" s="24"/>
      <c r="T765" s="1"/>
      <c r="U765" s="1"/>
      <c r="V765" s="24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24"/>
      <c r="G766" s="1"/>
      <c r="H766" s="1"/>
      <c r="I766" s="1"/>
      <c r="J766" s="25"/>
      <c r="K766" s="1"/>
      <c r="L766" s="1"/>
      <c r="M766" s="1"/>
      <c r="N766" s="25"/>
      <c r="O766" s="25"/>
      <c r="P766" s="24"/>
      <c r="Q766" s="1"/>
      <c r="S766" s="24"/>
      <c r="T766" s="1"/>
      <c r="U766" s="1"/>
      <c r="V766" s="24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24"/>
      <c r="G767" s="1"/>
      <c r="H767" s="1"/>
      <c r="I767" s="1"/>
      <c r="J767" s="25"/>
      <c r="K767" s="1"/>
      <c r="L767" s="1"/>
      <c r="M767" s="1"/>
      <c r="N767" s="25"/>
      <c r="O767" s="25"/>
      <c r="P767" s="24"/>
      <c r="Q767" s="1"/>
      <c r="S767" s="24"/>
      <c r="T767" s="1"/>
      <c r="U767" s="1"/>
      <c r="V767" s="24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24"/>
      <c r="G768" s="1"/>
      <c r="H768" s="1"/>
      <c r="I768" s="1"/>
      <c r="J768" s="25"/>
      <c r="K768" s="1"/>
      <c r="L768" s="1"/>
      <c r="M768" s="1"/>
      <c r="N768" s="25"/>
      <c r="O768" s="25"/>
      <c r="P768" s="24"/>
      <c r="Q768" s="1"/>
      <c r="S768" s="24"/>
      <c r="T768" s="1"/>
      <c r="U768" s="1"/>
      <c r="V768" s="24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24"/>
      <c r="G769" s="1"/>
      <c r="H769" s="1"/>
      <c r="I769" s="1"/>
      <c r="J769" s="25"/>
      <c r="K769" s="1"/>
      <c r="L769" s="1"/>
      <c r="M769" s="1"/>
      <c r="N769" s="25"/>
      <c r="O769" s="25"/>
      <c r="P769" s="24"/>
      <c r="Q769" s="1"/>
      <c r="S769" s="24"/>
      <c r="T769" s="1"/>
      <c r="U769" s="1"/>
      <c r="V769" s="24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24"/>
      <c r="G770" s="1"/>
      <c r="H770" s="1"/>
      <c r="I770" s="1"/>
      <c r="J770" s="25"/>
      <c r="K770" s="1"/>
      <c r="L770" s="1"/>
      <c r="M770" s="1"/>
      <c r="N770" s="25"/>
      <c r="O770" s="25"/>
      <c r="P770" s="24"/>
      <c r="Q770" s="1"/>
      <c r="S770" s="24"/>
      <c r="T770" s="1"/>
      <c r="U770" s="1"/>
      <c r="V770" s="24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24"/>
      <c r="G771" s="1"/>
      <c r="H771" s="1"/>
      <c r="I771" s="1"/>
      <c r="J771" s="25"/>
      <c r="K771" s="1"/>
      <c r="L771" s="1"/>
      <c r="M771" s="1"/>
      <c r="N771" s="25"/>
      <c r="O771" s="25"/>
      <c r="P771" s="24"/>
      <c r="Q771" s="1"/>
      <c r="S771" s="24"/>
      <c r="T771" s="1"/>
      <c r="U771" s="1"/>
      <c r="V771" s="24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24"/>
      <c r="G772" s="1"/>
      <c r="H772" s="1"/>
      <c r="I772" s="1"/>
      <c r="J772" s="25"/>
      <c r="K772" s="1"/>
      <c r="L772" s="1"/>
      <c r="M772" s="1"/>
      <c r="N772" s="25"/>
      <c r="O772" s="25"/>
      <c r="P772" s="24"/>
      <c r="Q772" s="1"/>
      <c r="S772" s="24"/>
      <c r="T772" s="1"/>
      <c r="U772" s="1"/>
      <c r="V772" s="24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24"/>
      <c r="G773" s="1"/>
      <c r="H773" s="1"/>
      <c r="I773" s="1"/>
      <c r="J773" s="25"/>
      <c r="K773" s="1"/>
      <c r="L773" s="1"/>
      <c r="M773" s="1"/>
      <c r="N773" s="25"/>
      <c r="O773" s="25"/>
      <c r="P773" s="24"/>
      <c r="Q773" s="1"/>
      <c r="S773" s="24"/>
      <c r="T773" s="1"/>
      <c r="U773" s="1"/>
      <c r="V773" s="24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24"/>
      <c r="G774" s="1"/>
      <c r="H774" s="1"/>
      <c r="I774" s="1"/>
      <c r="J774" s="25"/>
      <c r="K774" s="1"/>
      <c r="L774" s="1"/>
      <c r="M774" s="1"/>
      <c r="N774" s="25"/>
      <c r="O774" s="25"/>
      <c r="P774" s="24"/>
      <c r="Q774" s="1"/>
      <c r="S774" s="24"/>
      <c r="T774" s="1"/>
      <c r="U774" s="1"/>
      <c r="V774" s="24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24"/>
      <c r="G775" s="1"/>
      <c r="H775" s="1"/>
      <c r="I775" s="1"/>
      <c r="J775" s="25"/>
      <c r="K775" s="1"/>
      <c r="L775" s="1"/>
      <c r="M775" s="1"/>
      <c r="N775" s="25"/>
      <c r="O775" s="25"/>
      <c r="P775" s="24"/>
      <c r="Q775" s="1"/>
      <c r="S775" s="24"/>
      <c r="T775" s="1"/>
      <c r="U775" s="1"/>
      <c r="V775" s="24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24"/>
      <c r="G776" s="1"/>
      <c r="H776" s="1"/>
      <c r="I776" s="1"/>
      <c r="J776" s="25"/>
      <c r="K776" s="1"/>
      <c r="L776" s="1"/>
      <c r="M776" s="1"/>
      <c r="N776" s="25"/>
      <c r="O776" s="25"/>
      <c r="P776" s="24"/>
      <c r="Q776" s="1"/>
      <c r="S776" s="24"/>
      <c r="T776" s="1"/>
      <c r="U776" s="1"/>
      <c r="V776" s="24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24"/>
      <c r="G777" s="1"/>
      <c r="H777" s="1"/>
      <c r="I777" s="1"/>
      <c r="J777" s="25"/>
      <c r="K777" s="1"/>
      <c r="L777" s="1"/>
      <c r="M777" s="1"/>
      <c r="N777" s="25"/>
      <c r="O777" s="25"/>
      <c r="P777" s="24"/>
      <c r="Q777" s="1"/>
      <c r="S777" s="24"/>
      <c r="T777" s="1"/>
      <c r="U777" s="1"/>
      <c r="V777" s="24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24"/>
      <c r="G778" s="1"/>
      <c r="H778" s="1"/>
      <c r="I778" s="1"/>
      <c r="J778" s="25"/>
      <c r="K778" s="1"/>
      <c r="L778" s="1"/>
      <c r="M778" s="1"/>
      <c r="N778" s="25"/>
      <c r="O778" s="25"/>
      <c r="P778" s="24"/>
      <c r="Q778" s="1"/>
      <c r="S778" s="24"/>
      <c r="T778" s="1"/>
      <c r="U778" s="1"/>
      <c r="V778" s="24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24"/>
      <c r="G779" s="1"/>
      <c r="H779" s="1"/>
      <c r="I779" s="1"/>
      <c r="J779" s="25"/>
      <c r="K779" s="1"/>
      <c r="L779" s="1"/>
      <c r="M779" s="1"/>
      <c r="N779" s="25"/>
      <c r="O779" s="25"/>
      <c r="P779" s="24"/>
      <c r="Q779" s="1"/>
      <c r="S779" s="24"/>
      <c r="T779" s="1"/>
      <c r="U779" s="1"/>
      <c r="V779" s="24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24"/>
      <c r="G780" s="1"/>
      <c r="H780" s="1"/>
      <c r="I780" s="1"/>
      <c r="J780" s="25"/>
      <c r="K780" s="1"/>
      <c r="L780" s="1"/>
      <c r="M780" s="1"/>
      <c r="N780" s="25"/>
      <c r="O780" s="25"/>
      <c r="P780" s="24"/>
      <c r="Q780" s="1"/>
      <c r="S780" s="24"/>
      <c r="T780" s="1"/>
      <c r="U780" s="1"/>
      <c r="V780" s="24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24"/>
      <c r="G781" s="1"/>
      <c r="H781" s="1"/>
      <c r="I781" s="1"/>
      <c r="J781" s="25"/>
      <c r="K781" s="1"/>
      <c r="L781" s="1"/>
      <c r="M781" s="1"/>
      <c r="N781" s="25"/>
      <c r="O781" s="25"/>
      <c r="P781" s="24"/>
      <c r="Q781" s="1"/>
      <c r="S781" s="24"/>
      <c r="T781" s="1"/>
      <c r="U781" s="1"/>
      <c r="V781" s="24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24"/>
      <c r="G782" s="1"/>
      <c r="H782" s="1"/>
      <c r="I782" s="1"/>
      <c r="J782" s="25"/>
      <c r="K782" s="1"/>
      <c r="L782" s="1"/>
      <c r="M782" s="1"/>
      <c r="N782" s="25"/>
      <c r="O782" s="25"/>
      <c r="P782" s="24"/>
      <c r="Q782" s="1"/>
      <c r="S782" s="24"/>
      <c r="T782" s="1"/>
      <c r="U782" s="1"/>
      <c r="V782" s="24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24"/>
      <c r="G783" s="1"/>
      <c r="H783" s="1"/>
      <c r="I783" s="1"/>
      <c r="J783" s="25"/>
      <c r="K783" s="1"/>
      <c r="L783" s="1"/>
      <c r="M783" s="1"/>
      <c r="N783" s="25"/>
      <c r="O783" s="25"/>
      <c r="P783" s="24"/>
      <c r="Q783" s="1"/>
      <c r="S783" s="24"/>
      <c r="T783" s="1"/>
      <c r="U783" s="1"/>
      <c r="V783" s="24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24"/>
      <c r="G784" s="1"/>
      <c r="H784" s="1"/>
      <c r="I784" s="1"/>
      <c r="J784" s="25"/>
      <c r="K784" s="1"/>
      <c r="L784" s="1"/>
      <c r="M784" s="1"/>
      <c r="N784" s="25"/>
      <c r="O784" s="25"/>
      <c r="P784" s="24"/>
      <c r="Q784" s="1"/>
      <c r="S784" s="24"/>
      <c r="T784" s="1"/>
      <c r="U784" s="1"/>
      <c r="V784" s="24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24"/>
      <c r="G785" s="1"/>
      <c r="H785" s="1"/>
      <c r="I785" s="1"/>
      <c r="J785" s="25"/>
      <c r="K785" s="1"/>
      <c r="L785" s="1"/>
      <c r="M785" s="1"/>
      <c r="N785" s="25"/>
      <c r="O785" s="25"/>
      <c r="P785" s="24"/>
      <c r="Q785" s="1"/>
      <c r="S785" s="24"/>
      <c r="T785" s="1"/>
      <c r="U785" s="1"/>
      <c r="V785" s="24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24"/>
      <c r="G786" s="1"/>
      <c r="H786" s="1"/>
      <c r="I786" s="1"/>
      <c r="J786" s="25"/>
      <c r="K786" s="1"/>
      <c r="L786" s="1"/>
      <c r="M786" s="1"/>
      <c r="N786" s="25"/>
      <c r="O786" s="25"/>
      <c r="P786" s="24"/>
      <c r="Q786" s="1"/>
      <c r="S786" s="24"/>
      <c r="T786" s="1"/>
      <c r="U786" s="1"/>
      <c r="V786" s="24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24"/>
      <c r="G787" s="1"/>
      <c r="H787" s="1"/>
      <c r="I787" s="1"/>
      <c r="J787" s="25"/>
      <c r="K787" s="1"/>
      <c r="L787" s="1"/>
      <c r="M787" s="1"/>
      <c r="N787" s="25"/>
      <c r="O787" s="25"/>
      <c r="P787" s="24"/>
      <c r="Q787" s="1"/>
      <c r="S787" s="24"/>
      <c r="T787" s="1"/>
      <c r="U787" s="1"/>
      <c r="V787" s="24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24"/>
      <c r="G788" s="1"/>
      <c r="H788" s="1"/>
      <c r="I788" s="1"/>
      <c r="J788" s="25"/>
      <c r="K788" s="1"/>
      <c r="L788" s="1"/>
      <c r="M788" s="1"/>
      <c r="N788" s="25"/>
      <c r="O788" s="25"/>
      <c r="P788" s="24"/>
      <c r="Q788" s="1"/>
      <c r="S788" s="24"/>
      <c r="T788" s="1"/>
      <c r="U788" s="1"/>
      <c r="V788" s="24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24"/>
      <c r="G789" s="1"/>
      <c r="H789" s="1"/>
      <c r="I789" s="1"/>
      <c r="J789" s="25"/>
      <c r="K789" s="1"/>
      <c r="L789" s="1"/>
      <c r="M789" s="1"/>
      <c r="N789" s="25"/>
      <c r="O789" s="25"/>
      <c r="P789" s="24"/>
      <c r="Q789" s="1"/>
      <c r="S789" s="24"/>
      <c r="T789" s="1"/>
      <c r="U789" s="1"/>
      <c r="V789" s="24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24"/>
      <c r="G790" s="1"/>
      <c r="H790" s="1"/>
      <c r="I790" s="1"/>
      <c r="J790" s="25"/>
      <c r="K790" s="1"/>
      <c r="L790" s="1"/>
      <c r="M790" s="1"/>
      <c r="N790" s="25"/>
      <c r="O790" s="25"/>
      <c r="P790" s="24"/>
      <c r="Q790" s="1"/>
      <c r="S790" s="24"/>
      <c r="T790" s="1"/>
      <c r="U790" s="1"/>
      <c r="V790" s="24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24"/>
      <c r="G791" s="1"/>
      <c r="H791" s="1"/>
      <c r="I791" s="1"/>
      <c r="J791" s="25"/>
      <c r="K791" s="1"/>
      <c r="L791" s="1"/>
      <c r="M791" s="1"/>
      <c r="N791" s="25"/>
      <c r="O791" s="25"/>
      <c r="P791" s="24"/>
      <c r="Q791" s="1"/>
      <c r="S791" s="24"/>
      <c r="T791" s="1"/>
      <c r="U791" s="1"/>
      <c r="V791" s="24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24"/>
      <c r="G792" s="1"/>
      <c r="H792" s="1"/>
      <c r="I792" s="1"/>
      <c r="J792" s="25"/>
      <c r="K792" s="1"/>
      <c r="L792" s="1"/>
      <c r="M792" s="1"/>
      <c r="N792" s="25"/>
      <c r="O792" s="25"/>
      <c r="P792" s="24"/>
      <c r="Q792" s="1"/>
      <c r="S792" s="24"/>
      <c r="T792" s="1"/>
      <c r="U792" s="1"/>
      <c r="V792" s="24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24"/>
      <c r="G793" s="1"/>
      <c r="H793" s="1"/>
      <c r="I793" s="1"/>
      <c r="J793" s="25"/>
      <c r="K793" s="1"/>
      <c r="L793" s="1"/>
      <c r="M793" s="1"/>
      <c r="N793" s="25"/>
      <c r="O793" s="25"/>
      <c r="P793" s="24"/>
      <c r="Q793" s="1"/>
      <c r="S793" s="24"/>
      <c r="T793" s="1"/>
      <c r="U793" s="1"/>
      <c r="V793" s="24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24"/>
      <c r="G794" s="1"/>
      <c r="H794" s="1"/>
      <c r="I794" s="1"/>
      <c r="J794" s="25"/>
      <c r="K794" s="1"/>
      <c r="L794" s="1"/>
      <c r="M794" s="1"/>
      <c r="N794" s="25"/>
      <c r="O794" s="25"/>
      <c r="P794" s="24"/>
      <c r="Q794" s="1"/>
      <c r="S794" s="24"/>
      <c r="T794" s="1"/>
      <c r="U794" s="1"/>
      <c r="V794" s="24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24"/>
      <c r="G795" s="1"/>
      <c r="H795" s="1"/>
      <c r="I795" s="1"/>
      <c r="J795" s="25"/>
      <c r="K795" s="1"/>
      <c r="L795" s="1"/>
      <c r="M795" s="1"/>
      <c r="N795" s="25"/>
      <c r="O795" s="25"/>
      <c r="P795" s="24"/>
      <c r="Q795" s="1"/>
      <c r="S795" s="24"/>
      <c r="T795" s="1"/>
      <c r="U795" s="1"/>
      <c r="V795" s="24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24"/>
      <c r="G796" s="1"/>
      <c r="H796" s="1"/>
      <c r="I796" s="1"/>
      <c r="J796" s="25"/>
      <c r="K796" s="1"/>
      <c r="L796" s="1"/>
      <c r="M796" s="1"/>
      <c r="N796" s="25"/>
      <c r="O796" s="25"/>
      <c r="P796" s="24"/>
      <c r="Q796" s="1"/>
      <c r="S796" s="24"/>
      <c r="T796" s="1"/>
      <c r="U796" s="1"/>
      <c r="V796" s="24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24"/>
      <c r="G797" s="1"/>
      <c r="H797" s="1"/>
      <c r="I797" s="1"/>
      <c r="J797" s="25"/>
      <c r="K797" s="1"/>
      <c r="L797" s="1"/>
      <c r="M797" s="1"/>
      <c r="N797" s="25"/>
      <c r="O797" s="25"/>
      <c r="P797" s="24"/>
      <c r="Q797" s="1"/>
      <c r="S797" s="24"/>
      <c r="T797" s="1"/>
      <c r="U797" s="1"/>
      <c r="V797" s="24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24"/>
      <c r="G798" s="1"/>
      <c r="H798" s="1"/>
      <c r="I798" s="1"/>
      <c r="J798" s="25"/>
      <c r="K798" s="1"/>
      <c r="L798" s="1"/>
      <c r="M798" s="1"/>
      <c r="N798" s="25"/>
      <c r="O798" s="25"/>
      <c r="P798" s="24"/>
      <c r="Q798" s="1"/>
      <c r="S798" s="24"/>
      <c r="T798" s="1"/>
      <c r="U798" s="1"/>
      <c r="V798" s="24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24"/>
      <c r="G799" s="1"/>
      <c r="H799" s="1"/>
      <c r="I799" s="1"/>
      <c r="J799" s="25"/>
      <c r="K799" s="1"/>
      <c r="L799" s="1"/>
      <c r="M799" s="1"/>
      <c r="N799" s="25"/>
      <c r="O799" s="25"/>
      <c r="P799" s="24"/>
      <c r="Q799" s="1"/>
      <c r="S799" s="24"/>
      <c r="T799" s="1"/>
      <c r="U799" s="1"/>
      <c r="V799" s="24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24"/>
      <c r="G800" s="1"/>
      <c r="H800" s="1"/>
      <c r="I800" s="1"/>
      <c r="J800" s="25"/>
      <c r="K800" s="1"/>
      <c r="L800" s="1"/>
      <c r="M800" s="1"/>
      <c r="N800" s="25"/>
      <c r="O800" s="25"/>
      <c r="P800" s="24"/>
      <c r="Q800" s="1"/>
      <c r="S800" s="24"/>
      <c r="T800" s="1"/>
      <c r="U800" s="1"/>
      <c r="V800" s="24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24"/>
      <c r="G801" s="1"/>
      <c r="H801" s="1"/>
      <c r="I801" s="1"/>
      <c r="J801" s="25"/>
      <c r="K801" s="1"/>
      <c r="L801" s="1"/>
      <c r="M801" s="1"/>
      <c r="N801" s="25"/>
      <c r="O801" s="25"/>
      <c r="P801" s="24"/>
      <c r="Q801" s="1"/>
      <c r="S801" s="24"/>
      <c r="T801" s="1"/>
      <c r="U801" s="1"/>
      <c r="V801" s="24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24"/>
      <c r="G802" s="1"/>
      <c r="H802" s="1"/>
      <c r="I802" s="1"/>
      <c r="J802" s="25"/>
      <c r="K802" s="1"/>
      <c r="L802" s="1"/>
      <c r="M802" s="1"/>
      <c r="N802" s="25"/>
      <c r="O802" s="25"/>
      <c r="P802" s="24"/>
      <c r="Q802" s="1"/>
      <c r="S802" s="24"/>
      <c r="T802" s="1"/>
      <c r="U802" s="1"/>
      <c r="V802" s="24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24"/>
      <c r="G803" s="1"/>
      <c r="H803" s="1"/>
      <c r="I803" s="1"/>
      <c r="J803" s="25"/>
      <c r="K803" s="1"/>
      <c r="L803" s="1"/>
      <c r="M803" s="1"/>
      <c r="N803" s="25"/>
      <c r="O803" s="25"/>
      <c r="P803" s="24"/>
      <c r="Q803" s="1"/>
      <c r="S803" s="24"/>
      <c r="T803" s="1"/>
      <c r="U803" s="1"/>
      <c r="V803" s="24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24"/>
      <c r="G804" s="1"/>
      <c r="H804" s="1"/>
      <c r="I804" s="1"/>
      <c r="J804" s="25"/>
      <c r="K804" s="1"/>
      <c r="L804" s="1"/>
      <c r="M804" s="1"/>
      <c r="N804" s="25"/>
      <c r="O804" s="25"/>
      <c r="P804" s="24"/>
      <c r="Q804" s="1"/>
      <c r="S804" s="24"/>
      <c r="T804" s="1"/>
      <c r="U804" s="1"/>
      <c r="V804" s="24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24"/>
      <c r="G805" s="1"/>
      <c r="H805" s="1"/>
      <c r="I805" s="1"/>
      <c r="J805" s="25"/>
      <c r="K805" s="1"/>
      <c r="L805" s="1"/>
      <c r="M805" s="1"/>
      <c r="N805" s="25"/>
      <c r="O805" s="25"/>
      <c r="P805" s="24"/>
      <c r="Q805" s="1"/>
      <c r="S805" s="24"/>
      <c r="T805" s="1"/>
      <c r="U805" s="1"/>
      <c r="V805" s="24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24"/>
      <c r="G806" s="1"/>
      <c r="H806" s="1"/>
      <c r="I806" s="1"/>
      <c r="J806" s="25"/>
      <c r="K806" s="1"/>
      <c r="L806" s="1"/>
      <c r="M806" s="1"/>
      <c r="N806" s="25"/>
      <c r="O806" s="25"/>
      <c r="P806" s="24"/>
      <c r="Q806" s="1"/>
      <c r="S806" s="24"/>
      <c r="T806" s="1"/>
      <c r="U806" s="1"/>
      <c r="V806" s="24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24"/>
      <c r="G807" s="1"/>
      <c r="H807" s="1"/>
      <c r="I807" s="1"/>
      <c r="J807" s="25"/>
      <c r="K807" s="1"/>
      <c r="L807" s="1"/>
      <c r="M807" s="1"/>
      <c r="N807" s="25"/>
      <c r="O807" s="25"/>
      <c r="P807" s="24"/>
      <c r="Q807" s="1"/>
      <c r="S807" s="24"/>
      <c r="T807" s="1"/>
      <c r="U807" s="1"/>
      <c r="V807" s="24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24"/>
      <c r="G808" s="1"/>
      <c r="H808" s="1"/>
      <c r="I808" s="1"/>
      <c r="J808" s="25"/>
      <c r="K808" s="1"/>
      <c r="L808" s="1"/>
      <c r="M808" s="1"/>
      <c r="N808" s="25"/>
      <c r="O808" s="25"/>
      <c r="P808" s="24"/>
      <c r="Q808" s="1"/>
      <c r="S808" s="24"/>
      <c r="T808" s="1"/>
      <c r="U808" s="1"/>
      <c r="V808" s="24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24"/>
      <c r="G809" s="1"/>
      <c r="H809" s="1"/>
      <c r="I809" s="1"/>
      <c r="J809" s="25"/>
      <c r="K809" s="1"/>
      <c r="L809" s="1"/>
      <c r="M809" s="1"/>
      <c r="N809" s="25"/>
      <c r="O809" s="25"/>
      <c r="P809" s="24"/>
      <c r="Q809" s="1"/>
      <c r="S809" s="24"/>
      <c r="T809" s="1"/>
      <c r="U809" s="1"/>
      <c r="V809" s="24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24"/>
      <c r="G810" s="1"/>
      <c r="H810" s="1"/>
      <c r="I810" s="1"/>
      <c r="J810" s="25"/>
      <c r="K810" s="1"/>
      <c r="L810" s="1"/>
      <c r="M810" s="1"/>
      <c r="N810" s="25"/>
      <c r="O810" s="25"/>
      <c r="P810" s="24"/>
      <c r="Q810" s="1"/>
      <c r="S810" s="24"/>
      <c r="T810" s="1"/>
      <c r="U810" s="1"/>
      <c r="V810" s="24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24"/>
      <c r="G811" s="1"/>
      <c r="H811" s="1"/>
      <c r="I811" s="1"/>
      <c r="J811" s="25"/>
      <c r="K811" s="1"/>
      <c r="L811" s="1"/>
      <c r="M811" s="1"/>
      <c r="N811" s="25"/>
      <c r="O811" s="25"/>
      <c r="P811" s="24"/>
      <c r="Q811" s="1"/>
      <c r="S811" s="24"/>
      <c r="T811" s="1"/>
      <c r="U811" s="1"/>
      <c r="V811" s="24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24"/>
      <c r="G812" s="1"/>
      <c r="H812" s="1"/>
      <c r="I812" s="1"/>
      <c r="J812" s="25"/>
      <c r="K812" s="1"/>
      <c r="L812" s="1"/>
      <c r="M812" s="1"/>
      <c r="N812" s="25"/>
      <c r="O812" s="25"/>
      <c r="P812" s="24"/>
      <c r="Q812" s="1"/>
      <c r="S812" s="24"/>
      <c r="T812" s="1"/>
      <c r="U812" s="1"/>
      <c r="V812" s="24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24"/>
      <c r="G813" s="1"/>
      <c r="H813" s="1"/>
      <c r="I813" s="1"/>
      <c r="J813" s="25"/>
      <c r="K813" s="1"/>
      <c r="L813" s="1"/>
      <c r="M813" s="1"/>
      <c r="N813" s="25"/>
      <c r="O813" s="25"/>
      <c r="P813" s="24"/>
      <c r="Q813" s="1"/>
      <c r="S813" s="24"/>
      <c r="T813" s="1"/>
      <c r="U813" s="1"/>
      <c r="V813" s="24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24"/>
      <c r="G814" s="1"/>
      <c r="H814" s="1"/>
      <c r="I814" s="1"/>
      <c r="J814" s="25"/>
      <c r="K814" s="1"/>
      <c r="L814" s="1"/>
      <c r="M814" s="1"/>
      <c r="N814" s="25"/>
      <c r="O814" s="25"/>
      <c r="P814" s="24"/>
      <c r="Q814" s="1"/>
      <c r="S814" s="24"/>
      <c r="T814" s="1"/>
      <c r="U814" s="1"/>
      <c r="V814" s="24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24"/>
      <c r="G815" s="1"/>
      <c r="H815" s="1"/>
      <c r="I815" s="1"/>
      <c r="J815" s="25"/>
      <c r="K815" s="1"/>
      <c r="L815" s="1"/>
      <c r="M815" s="1"/>
      <c r="N815" s="25"/>
      <c r="O815" s="25"/>
      <c r="P815" s="24"/>
      <c r="Q815" s="1"/>
      <c r="S815" s="24"/>
      <c r="T815" s="1"/>
      <c r="U815" s="1"/>
      <c r="V815" s="24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24"/>
      <c r="G816" s="1"/>
      <c r="H816" s="1"/>
      <c r="I816" s="1"/>
      <c r="J816" s="25"/>
      <c r="K816" s="1"/>
      <c r="L816" s="1"/>
      <c r="M816" s="1"/>
      <c r="N816" s="25"/>
      <c r="O816" s="25"/>
      <c r="P816" s="24"/>
      <c r="Q816" s="1"/>
      <c r="S816" s="24"/>
      <c r="T816" s="1"/>
      <c r="U816" s="1"/>
      <c r="V816" s="24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24"/>
      <c r="G817" s="1"/>
      <c r="H817" s="1"/>
      <c r="I817" s="1"/>
      <c r="J817" s="25"/>
      <c r="K817" s="1"/>
      <c r="L817" s="1"/>
      <c r="M817" s="1"/>
      <c r="N817" s="25"/>
      <c r="O817" s="25"/>
      <c r="P817" s="24"/>
      <c r="Q817" s="1"/>
      <c r="S817" s="24"/>
      <c r="T817" s="1"/>
      <c r="U817" s="1"/>
      <c r="V817" s="24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24"/>
      <c r="G818" s="1"/>
      <c r="H818" s="1"/>
      <c r="I818" s="1"/>
      <c r="J818" s="25"/>
      <c r="K818" s="1"/>
      <c r="L818" s="1"/>
      <c r="M818" s="1"/>
      <c r="N818" s="25"/>
      <c r="O818" s="25"/>
      <c r="P818" s="24"/>
      <c r="Q818" s="1"/>
      <c r="S818" s="24"/>
      <c r="T818" s="1"/>
      <c r="U818" s="1"/>
      <c r="V818" s="24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24"/>
      <c r="G819" s="1"/>
      <c r="H819" s="1"/>
      <c r="I819" s="1"/>
      <c r="J819" s="25"/>
      <c r="K819" s="1"/>
      <c r="L819" s="1"/>
      <c r="M819" s="1"/>
      <c r="N819" s="25"/>
      <c r="O819" s="25"/>
      <c r="P819" s="24"/>
      <c r="Q819" s="1"/>
      <c r="S819" s="24"/>
      <c r="T819" s="1"/>
      <c r="U819" s="1"/>
      <c r="V819" s="24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24"/>
      <c r="G820" s="1"/>
      <c r="H820" s="1"/>
      <c r="I820" s="1"/>
      <c r="J820" s="25"/>
      <c r="K820" s="1"/>
      <c r="L820" s="1"/>
      <c r="M820" s="1"/>
      <c r="N820" s="25"/>
      <c r="O820" s="25"/>
      <c r="P820" s="24"/>
      <c r="Q820" s="1"/>
      <c r="S820" s="24"/>
      <c r="T820" s="1"/>
      <c r="U820" s="1"/>
      <c r="V820" s="24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24"/>
      <c r="G821" s="1"/>
      <c r="H821" s="1"/>
      <c r="I821" s="1"/>
      <c r="J821" s="25"/>
      <c r="K821" s="1"/>
      <c r="L821" s="1"/>
      <c r="M821" s="1"/>
      <c r="N821" s="25"/>
      <c r="O821" s="25"/>
      <c r="P821" s="24"/>
      <c r="Q821" s="1"/>
      <c r="S821" s="24"/>
      <c r="T821" s="1"/>
      <c r="U821" s="1"/>
      <c r="V821" s="24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24"/>
      <c r="G822" s="1"/>
      <c r="H822" s="1"/>
      <c r="I822" s="1"/>
      <c r="J822" s="25"/>
      <c r="K822" s="1"/>
      <c r="L822" s="1"/>
      <c r="M822" s="1"/>
      <c r="N822" s="25"/>
      <c r="O822" s="25"/>
      <c r="P822" s="24"/>
      <c r="Q822" s="1"/>
      <c r="S822" s="24"/>
      <c r="T822" s="1"/>
      <c r="U822" s="1"/>
      <c r="V822" s="24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24"/>
      <c r="G823" s="1"/>
      <c r="H823" s="1"/>
      <c r="I823" s="1"/>
      <c r="J823" s="25"/>
      <c r="K823" s="1"/>
      <c r="L823" s="1"/>
      <c r="M823" s="1"/>
      <c r="N823" s="25"/>
      <c r="O823" s="25"/>
      <c r="P823" s="24"/>
      <c r="Q823" s="1"/>
      <c r="S823" s="24"/>
      <c r="T823" s="1"/>
      <c r="U823" s="1"/>
      <c r="V823" s="24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24"/>
      <c r="G824" s="1"/>
      <c r="H824" s="1"/>
      <c r="I824" s="1"/>
      <c r="J824" s="25"/>
      <c r="K824" s="1"/>
      <c r="L824" s="1"/>
      <c r="M824" s="1"/>
      <c r="N824" s="25"/>
      <c r="O824" s="25"/>
      <c r="P824" s="24"/>
      <c r="Q824" s="1"/>
      <c r="S824" s="24"/>
      <c r="T824" s="1"/>
      <c r="U824" s="1"/>
      <c r="V824" s="24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24"/>
      <c r="G825" s="1"/>
      <c r="H825" s="1"/>
      <c r="I825" s="1"/>
      <c r="J825" s="25"/>
      <c r="K825" s="1"/>
      <c r="L825" s="1"/>
      <c r="M825" s="1"/>
      <c r="N825" s="25"/>
      <c r="O825" s="25"/>
      <c r="P825" s="24"/>
      <c r="Q825" s="1"/>
      <c r="S825" s="24"/>
      <c r="T825" s="1"/>
      <c r="U825" s="1"/>
      <c r="V825" s="24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24"/>
      <c r="G826" s="1"/>
      <c r="H826" s="1"/>
      <c r="I826" s="1"/>
      <c r="J826" s="25"/>
      <c r="K826" s="1"/>
      <c r="L826" s="1"/>
      <c r="M826" s="1"/>
      <c r="N826" s="25"/>
      <c r="O826" s="25"/>
      <c r="P826" s="24"/>
      <c r="Q826" s="1"/>
      <c r="S826" s="24"/>
      <c r="T826" s="1"/>
      <c r="U826" s="1"/>
      <c r="V826" s="24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24"/>
      <c r="G827" s="1"/>
      <c r="H827" s="1"/>
      <c r="I827" s="1"/>
      <c r="J827" s="25"/>
      <c r="K827" s="1"/>
      <c r="L827" s="1"/>
      <c r="M827" s="1"/>
      <c r="N827" s="25"/>
      <c r="O827" s="25"/>
      <c r="P827" s="24"/>
      <c r="Q827" s="1"/>
      <c r="S827" s="24"/>
      <c r="T827" s="1"/>
      <c r="U827" s="1"/>
      <c r="V827" s="24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24"/>
      <c r="G828" s="1"/>
      <c r="H828" s="1"/>
      <c r="I828" s="1"/>
      <c r="J828" s="25"/>
      <c r="K828" s="1"/>
      <c r="L828" s="1"/>
      <c r="M828" s="1"/>
      <c r="N828" s="25"/>
      <c r="O828" s="25"/>
      <c r="P828" s="24"/>
      <c r="Q828" s="1"/>
      <c r="S828" s="24"/>
      <c r="T828" s="1"/>
      <c r="U828" s="1"/>
      <c r="V828" s="24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24"/>
      <c r="G829" s="1"/>
      <c r="H829" s="1"/>
      <c r="I829" s="1"/>
      <c r="J829" s="25"/>
      <c r="K829" s="1"/>
      <c r="L829" s="1"/>
      <c r="M829" s="1"/>
      <c r="N829" s="25"/>
      <c r="O829" s="25"/>
      <c r="P829" s="24"/>
      <c r="Q829" s="1"/>
      <c r="S829" s="24"/>
      <c r="T829" s="1"/>
      <c r="U829" s="1"/>
      <c r="V829" s="24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24"/>
      <c r="G830" s="1"/>
      <c r="H830" s="1"/>
      <c r="I830" s="1"/>
      <c r="J830" s="25"/>
      <c r="K830" s="1"/>
      <c r="L830" s="1"/>
      <c r="M830" s="1"/>
      <c r="N830" s="25"/>
      <c r="O830" s="25"/>
      <c r="P830" s="24"/>
      <c r="Q830" s="1"/>
      <c r="S830" s="24"/>
      <c r="T830" s="1"/>
      <c r="U830" s="1"/>
      <c r="V830" s="24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24"/>
      <c r="G831" s="1"/>
      <c r="H831" s="1"/>
      <c r="I831" s="1"/>
      <c r="J831" s="25"/>
      <c r="K831" s="1"/>
      <c r="L831" s="1"/>
      <c r="M831" s="1"/>
      <c r="N831" s="25"/>
      <c r="O831" s="25"/>
      <c r="P831" s="24"/>
      <c r="Q831" s="1"/>
      <c r="S831" s="24"/>
      <c r="T831" s="1"/>
      <c r="U831" s="1"/>
      <c r="V831" s="24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24"/>
      <c r="G832" s="1"/>
      <c r="H832" s="1"/>
      <c r="I832" s="1"/>
      <c r="J832" s="25"/>
      <c r="K832" s="1"/>
      <c r="L832" s="1"/>
      <c r="M832" s="1"/>
      <c r="N832" s="25"/>
      <c r="O832" s="25"/>
      <c r="P832" s="24"/>
      <c r="Q832" s="1"/>
      <c r="S832" s="24"/>
      <c r="T832" s="1"/>
      <c r="U832" s="1"/>
      <c r="V832" s="24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24"/>
      <c r="G833" s="1"/>
      <c r="H833" s="1"/>
      <c r="I833" s="1"/>
      <c r="J833" s="25"/>
      <c r="K833" s="1"/>
      <c r="L833" s="1"/>
      <c r="M833" s="1"/>
      <c r="N833" s="25"/>
      <c r="O833" s="25"/>
      <c r="P833" s="24"/>
      <c r="Q833" s="1"/>
      <c r="S833" s="24"/>
      <c r="T833" s="1"/>
      <c r="U833" s="1"/>
      <c r="V833" s="24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24"/>
      <c r="G834" s="1"/>
      <c r="H834" s="1"/>
      <c r="I834" s="1"/>
      <c r="J834" s="25"/>
      <c r="K834" s="1"/>
      <c r="L834" s="1"/>
      <c r="M834" s="1"/>
      <c r="N834" s="25"/>
      <c r="O834" s="25"/>
      <c r="P834" s="24"/>
      <c r="Q834" s="1"/>
      <c r="S834" s="24"/>
      <c r="T834" s="1"/>
      <c r="U834" s="1"/>
      <c r="V834" s="24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24"/>
      <c r="G835" s="1"/>
      <c r="H835" s="1"/>
      <c r="I835" s="1"/>
      <c r="J835" s="25"/>
      <c r="K835" s="1"/>
      <c r="L835" s="1"/>
      <c r="M835" s="1"/>
      <c r="N835" s="25"/>
      <c r="O835" s="25"/>
      <c r="P835" s="24"/>
      <c r="Q835" s="1"/>
      <c r="S835" s="24"/>
      <c r="T835" s="1"/>
      <c r="U835" s="1"/>
      <c r="V835" s="24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24"/>
      <c r="G836" s="1"/>
      <c r="H836" s="1"/>
      <c r="I836" s="1"/>
      <c r="J836" s="25"/>
      <c r="K836" s="1"/>
      <c r="L836" s="1"/>
      <c r="M836" s="1"/>
      <c r="N836" s="25"/>
      <c r="O836" s="25"/>
      <c r="P836" s="24"/>
      <c r="Q836" s="1"/>
      <c r="S836" s="24"/>
      <c r="T836" s="1"/>
      <c r="U836" s="1"/>
      <c r="V836" s="24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24"/>
      <c r="G837" s="1"/>
      <c r="H837" s="1"/>
      <c r="I837" s="1"/>
      <c r="J837" s="25"/>
      <c r="K837" s="1"/>
      <c r="L837" s="1"/>
      <c r="M837" s="1"/>
      <c r="N837" s="25"/>
      <c r="O837" s="25"/>
      <c r="P837" s="24"/>
      <c r="Q837" s="1"/>
      <c r="S837" s="24"/>
      <c r="T837" s="1"/>
      <c r="U837" s="1"/>
      <c r="V837" s="24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24"/>
      <c r="G838" s="1"/>
      <c r="H838" s="1"/>
      <c r="I838" s="1"/>
      <c r="J838" s="25"/>
      <c r="K838" s="1"/>
      <c r="L838" s="1"/>
      <c r="M838" s="1"/>
      <c r="N838" s="25"/>
      <c r="O838" s="25"/>
      <c r="P838" s="24"/>
      <c r="Q838" s="1"/>
      <c r="S838" s="24"/>
      <c r="T838" s="1"/>
      <c r="U838" s="1"/>
      <c r="V838" s="24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24"/>
      <c r="G839" s="1"/>
      <c r="H839" s="1"/>
      <c r="I839" s="1"/>
      <c r="J839" s="25"/>
      <c r="K839" s="1"/>
      <c r="L839" s="1"/>
      <c r="M839" s="1"/>
      <c r="N839" s="25"/>
      <c r="O839" s="25"/>
      <c r="P839" s="24"/>
      <c r="Q839" s="1"/>
      <c r="S839" s="24"/>
      <c r="T839" s="1"/>
      <c r="U839" s="1"/>
      <c r="V839" s="24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24"/>
      <c r="G840" s="1"/>
      <c r="H840" s="1"/>
      <c r="I840" s="1"/>
      <c r="J840" s="25"/>
      <c r="K840" s="1"/>
      <c r="L840" s="1"/>
      <c r="M840" s="1"/>
      <c r="N840" s="25"/>
      <c r="O840" s="25"/>
      <c r="P840" s="24"/>
      <c r="Q840" s="1"/>
      <c r="S840" s="24"/>
      <c r="T840" s="1"/>
      <c r="U840" s="1"/>
      <c r="V840" s="24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24"/>
      <c r="G841" s="1"/>
      <c r="H841" s="1"/>
      <c r="I841" s="1"/>
      <c r="J841" s="25"/>
      <c r="K841" s="1"/>
      <c r="L841" s="1"/>
      <c r="M841" s="1"/>
      <c r="N841" s="25"/>
      <c r="O841" s="25"/>
      <c r="P841" s="24"/>
      <c r="Q841" s="1"/>
      <c r="S841" s="24"/>
      <c r="T841" s="1"/>
      <c r="U841" s="1"/>
      <c r="V841" s="24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24"/>
      <c r="G842" s="1"/>
      <c r="H842" s="1"/>
      <c r="I842" s="1"/>
      <c r="J842" s="25"/>
      <c r="K842" s="1"/>
      <c r="L842" s="1"/>
      <c r="M842" s="1"/>
      <c r="N842" s="25"/>
      <c r="O842" s="25"/>
      <c r="P842" s="24"/>
      <c r="Q842" s="1"/>
      <c r="S842" s="24"/>
      <c r="T842" s="1"/>
      <c r="U842" s="1"/>
      <c r="V842" s="24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24"/>
      <c r="G843" s="1"/>
      <c r="H843" s="1"/>
      <c r="I843" s="1"/>
      <c r="J843" s="25"/>
      <c r="K843" s="1"/>
      <c r="L843" s="1"/>
      <c r="M843" s="1"/>
      <c r="N843" s="25"/>
      <c r="O843" s="25"/>
      <c r="P843" s="24"/>
      <c r="Q843" s="1"/>
      <c r="S843" s="24"/>
      <c r="T843" s="1"/>
      <c r="U843" s="1"/>
      <c r="V843" s="24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24"/>
      <c r="G844" s="1"/>
      <c r="H844" s="1"/>
      <c r="I844" s="1"/>
      <c r="J844" s="25"/>
      <c r="K844" s="1"/>
      <c r="L844" s="1"/>
      <c r="M844" s="1"/>
      <c r="N844" s="25"/>
      <c r="O844" s="25"/>
      <c r="P844" s="24"/>
      <c r="Q844" s="1"/>
      <c r="S844" s="24"/>
      <c r="T844" s="1"/>
      <c r="U844" s="1"/>
      <c r="V844" s="24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24"/>
      <c r="G845" s="1"/>
      <c r="H845" s="1"/>
      <c r="I845" s="1"/>
      <c r="J845" s="25"/>
      <c r="K845" s="1"/>
      <c r="L845" s="1"/>
      <c r="M845" s="1"/>
      <c r="N845" s="25"/>
      <c r="O845" s="25"/>
      <c r="P845" s="24"/>
      <c r="Q845" s="1"/>
      <c r="S845" s="24"/>
      <c r="T845" s="1"/>
      <c r="U845" s="1"/>
      <c r="V845" s="24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24"/>
      <c r="G846" s="1"/>
      <c r="H846" s="1"/>
      <c r="I846" s="1"/>
      <c r="J846" s="25"/>
      <c r="K846" s="1"/>
      <c r="L846" s="1"/>
      <c r="M846" s="1"/>
      <c r="N846" s="25"/>
      <c r="O846" s="25"/>
      <c r="P846" s="24"/>
      <c r="Q846" s="1"/>
      <c r="S846" s="24"/>
      <c r="T846" s="1"/>
      <c r="U846" s="1"/>
      <c r="V846" s="24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24"/>
      <c r="G847" s="1"/>
      <c r="H847" s="1"/>
      <c r="I847" s="1"/>
      <c r="J847" s="25"/>
      <c r="K847" s="1"/>
      <c r="L847" s="1"/>
      <c r="M847" s="1"/>
      <c r="N847" s="25"/>
      <c r="O847" s="25"/>
      <c r="P847" s="24"/>
      <c r="Q847" s="1"/>
      <c r="S847" s="24"/>
      <c r="T847" s="1"/>
      <c r="U847" s="1"/>
      <c r="V847" s="24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24"/>
      <c r="G848" s="1"/>
      <c r="H848" s="1"/>
      <c r="I848" s="1"/>
      <c r="J848" s="25"/>
      <c r="K848" s="1"/>
      <c r="L848" s="1"/>
      <c r="M848" s="1"/>
      <c r="N848" s="25"/>
      <c r="O848" s="25"/>
      <c r="P848" s="24"/>
      <c r="Q848" s="1"/>
      <c r="S848" s="24"/>
      <c r="T848" s="1"/>
      <c r="U848" s="1"/>
      <c r="V848" s="24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24"/>
      <c r="G849" s="1"/>
      <c r="H849" s="1"/>
      <c r="I849" s="1"/>
      <c r="J849" s="25"/>
      <c r="K849" s="1"/>
      <c r="L849" s="1"/>
      <c r="M849" s="1"/>
      <c r="N849" s="25"/>
      <c r="O849" s="25"/>
      <c r="P849" s="24"/>
      <c r="Q849" s="1"/>
      <c r="S849" s="24"/>
      <c r="T849" s="1"/>
      <c r="U849" s="1"/>
      <c r="V849" s="24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24"/>
      <c r="G850" s="1"/>
      <c r="H850" s="1"/>
      <c r="I850" s="1"/>
      <c r="J850" s="25"/>
      <c r="K850" s="1"/>
      <c r="L850" s="1"/>
      <c r="M850" s="1"/>
      <c r="N850" s="25"/>
      <c r="O850" s="25"/>
      <c r="P850" s="24"/>
      <c r="Q850" s="1"/>
      <c r="S850" s="24"/>
      <c r="T850" s="1"/>
      <c r="U850" s="1"/>
      <c r="V850" s="24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24"/>
      <c r="G851" s="1"/>
      <c r="H851" s="1"/>
      <c r="I851" s="1"/>
      <c r="J851" s="25"/>
      <c r="K851" s="1"/>
      <c r="L851" s="1"/>
      <c r="M851" s="1"/>
      <c r="N851" s="25"/>
      <c r="O851" s="25"/>
      <c r="P851" s="24"/>
      <c r="Q851" s="1"/>
      <c r="S851" s="24"/>
      <c r="T851" s="1"/>
      <c r="U851" s="1"/>
      <c r="V851" s="24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24"/>
      <c r="G852" s="1"/>
      <c r="H852" s="1"/>
      <c r="I852" s="1"/>
      <c r="J852" s="25"/>
      <c r="K852" s="1"/>
      <c r="L852" s="1"/>
      <c r="M852" s="1"/>
      <c r="N852" s="25"/>
      <c r="O852" s="25"/>
      <c r="P852" s="24"/>
      <c r="Q852" s="1"/>
      <c r="S852" s="24"/>
      <c r="T852" s="1"/>
      <c r="U852" s="1"/>
      <c r="V852" s="24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24"/>
      <c r="G853" s="1"/>
      <c r="H853" s="1"/>
      <c r="I853" s="1"/>
      <c r="J853" s="25"/>
      <c r="K853" s="1"/>
      <c r="L853" s="1"/>
      <c r="M853" s="1"/>
      <c r="N853" s="25"/>
      <c r="O853" s="25"/>
      <c r="P853" s="24"/>
      <c r="Q853" s="1"/>
      <c r="S853" s="24"/>
      <c r="T853" s="1"/>
      <c r="U853" s="1"/>
      <c r="V853" s="24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24"/>
      <c r="G854" s="1"/>
      <c r="H854" s="1"/>
      <c r="I854" s="1"/>
      <c r="J854" s="25"/>
      <c r="K854" s="1"/>
      <c r="L854" s="1"/>
      <c r="M854" s="1"/>
      <c r="N854" s="25"/>
      <c r="O854" s="25"/>
      <c r="P854" s="24"/>
      <c r="Q854" s="1"/>
      <c r="S854" s="24"/>
      <c r="T854" s="1"/>
      <c r="U854" s="1"/>
      <c r="V854" s="24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24"/>
      <c r="G855" s="1"/>
      <c r="H855" s="1"/>
      <c r="I855" s="1"/>
      <c r="J855" s="25"/>
      <c r="K855" s="1"/>
      <c r="L855" s="1"/>
      <c r="M855" s="1"/>
      <c r="N855" s="25"/>
      <c r="O855" s="25"/>
      <c r="P855" s="24"/>
      <c r="Q855" s="1"/>
      <c r="S855" s="24"/>
      <c r="T855" s="1"/>
      <c r="U855" s="1"/>
      <c r="V855" s="24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24"/>
      <c r="G856" s="1"/>
      <c r="H856" s="1"/>
      <c r="I856" s="1"/>
      <c r="J856" s="25"/>
      <c r="K856" s="1"/>
      <c r="L856" s="1"/>
      <c r="M856" s="1"/>
      <c r="N856" s="25"/>
      <c r="O856" s="25"/>
      <c r="P856" s="24"/>
      <c r="Q856" s="1"/>
      <c r="S856" s="24"/>
      <c r="T856" s="1"/>
      <c r="U856" s="1"/>
      <c r="V856" s="24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24"/>
      <c r="G857" s="1"/>
      <c r="H857" s="1"/>
      <c r="I857" s="1"/>
      <c r="J857" s="25"/>
      <c r="K857" s="1"/>
      <c r="L857" s="1"/>
      <c r="M857" s="1"/>
      <c r="N857" s="25"/>
      <c r="O857" s="25"/>
      <c r="P857" s="24"/>
      <c r="Q857" s="1"/>
      <c r="S857" s="24"/>
      <c r="T857" s="1"/>
      <c r="U857" s="1"/>
      <c r="V857" s="24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24"/>
      <c r="G858" s="1"/>
      <c r="H858" s="1"/>
      <c r="I858" s="1"/>
      <c r="J858" s="25"/>
      <c r="K858" s="1"/>
      <c r="L858" s="1"/>
      <c r="M858" s="1"/>
      <c r="N858" s="25"/>
      <c r="O858" s="25"/>
      <c r="P858" s="24"/>
      <c r="Q858" s="1"/>
      <c r="S858" s="24"/>
      <c r="T858" s="1"/>
      <c r="U858" s="1"/>
      <c r="V858" s="24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24"/>
      <c r="G859" s="1"/>
      <c r="H859" s="1"/>
      <c r="I859" s="1"/>
      <c r="J859" s="25"/>
      <c r="K859" s="1"/>
      <c r="L859" s="1"/>
      <c r="M859" s="1"/>
      <c r="N859" s="25"/>
      <c r="O859" s="25"/>
      <c r="P859" s="24"/>
      <c r="Q859" s="1"/>
      <c r="S859" s="24"/>
      <c r="T859" s="1"/>
      <c r="U859" s="1"/>
      <c r="V859" s="24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24"/>
      <c r="G860" s="1"/>
      <c r="H860" s="1"/>
      <c r="I860" s="1"/>
      <c r="J860" s="25"/>
      <c r="K860" s="1"/>
      <c r="L860" s="1"/>
      <c r="M860" s="1"/>
      <c r="N860" s="25"/>
      <c r="O860" s="25"/>
      <c r="P860" s="24"/>
      <c r="Q860" s="1"/>
      <c r="S860" s="24"/>
      <c r="T860" s="1"/>
      <c r="U860" s="1"/>
      <c r="V860" s="24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24"/>
      <c r="G861" s="1"/>
      <c r="H861" s="1"/>
      <c r="I861" s="1"/>
      <c r="J861" s="25"/>
      <c r="K861" s="1"/>
      <c r="L861" s="1"/>
      <c r="M861" s="1"/>
      <c r="N861" s="25"/>
      <c r="O861" s="25"/>
      <c r="P861" s="24"/>
      <c r="Q861" s="1"/>
      <c r="S861" s="24"/>
      <c r="T861" s="1"/>
      <c r="U861" s="1"/>
      <c r="V861" s="24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24"/>
      <c r="G862" s="1"/>
      <c r="H862" s="1"/>
      <c r="I862" s="1"/>
      <c r="J862" s="25"/>
      <c r="K862" s="1"/>
      <c r="L862" s="1"/>
      <c r="M862" s="1"/>
      <c r="N862" s="25"/>
      <c r="O862" s="25"/>
      <c r="P862" s="24"/>
      <c r="Q862" s="1"/>
      <c r="S862" s="24"/>
      <c r="T862" s="1"/>
      <c r="U862" s="1"/>
      <c r="V862" s="24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24"/>
      <c r="G863" s="1"/>
      <c r="H863" s="1"/>
      <c r="I863" s="1"/>
      <c r="J863" s="25"/>
      <c r="K863" s="1"/>
      <c r="L863" s="1"/>
      <c r="M863" s="1"/>
      <c r="N863" s="25"/>
      <c r="O863" s="25"/>
      <c r="P863" s="24"/>
      <c r="Q863" s="1"/>
      <c r="S863" s="24"/>
      <c r="T863" s="1"/>
      <c r="U863" s="1"/>
      <c r="V863" s="24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24"/>
      <c r="G864" s="1"/>
      <c r="H864" s="1"/>
      <c r="I864" s="1"/>
      <c r="J864" s="25"/>
      <c r="K864" s="1"/>
      <c r="L864" s="1"/>
      <c r="M864" s="1"/>
      <c r="N864" s="25"/>
      <c r="O864" s="25"/>
      <c r="P864" s="24"/>
      <c r="Q864" s="1"/>
      <c r="S864" s="24"/>
      <c r="T864" s="1"/>
      <c r="U864" s="1"/>
      <c r="V864" s="24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24"/>
      <c r="G865" s="1"/>
      <c r="H865" s="1"/>
      <c r="I865" s="1"/>
      <c r="J865" s="25"/>
      <c r="K865" s="1"/>
      <c r="L865" s="1"/>
      <c r="M865" s="1"/>
      <c r="N865" s="25"/>
      <c r="O865" s="25"/>
      <c r="P865" s="24"/>
      <c r="Q865" s="1"/>
      <c r="S865" s="24"/>
      <c r="T865" s="1"/>
      <c r="U865" s="1"/>
      <c r="V865" s="24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24"/>
      <c r="G866" s="1"/>
      <c r="H866" s="1"/>
      <c r="I866" s="1"/>
      <c r="J866" s="25"/>
      <c r="K866" s="1"/>
      <c r="L866" s="1"/>
      <c r="M866" s="1"/>
      <c r="N866" s="25"/>
      <c r="O866" s="25"/>
      <c r="P866" s="24"/>
      <c r="Q866" s="1"/>
      <c r="S866" s="24"/>
      <c r="T866" s="1"/>
      <c r="U866" s="1"/>
      <c r="V866" s="24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24"/>
      <c r="G867" s="1"/>
      <c r="H867" s="1"/>
      <c r="I867" s="1"/>
      <c r="J867" s="25"/>
      <c r="K867" s="1"/>
      <c r="L867" s="1"/>
      <c r="M867" s="1"/>
      <c r="N867" s="25"/>
      <c r="O867" s="25"/>
      <c r="P867" s="24"/>
      <c r="Q867" s="1"/>
      <c r="S867" s="24"/>
      <c r="T867" s="1"/>
      <c r="U867" s="1"/>
      <c r="V867" s="24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24"/>
      <c r="G868" s="1"/>
      <c r="H868" s="1"/>
      <c r="I868" s="1"/>
      <c r="J868" s="25"/>
      <c r="K868" s="1"/>
      <c r="L868" s="1"/>
      <c r="M868" s="1"/>
      <c r="N868" s="25"/>
      <c r="O868" s="25"/>
      <c r="P868" s="24"/>
      <c r="Q868" s="1"/>
      <c r="S868" s="24"/>
      <c r="T868" s="1"/>
      <c r="U868" s="1"/>
      <c r="V868" s="24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24"/>
      <c r="G869" s="1"/>
      <c r="H869" s="1"/>
      <c r="I869" s="1"/>
      <c r="J869" s="25"/>
      <c r="K869" s="1"/>
      <c r="L869" s="1"/>
      <c r="M869" s="1"/>
      <c r="N869" s="25"/>
      <c r="O869" s="25"/>
      <c r="P869" s="24"/>
      <c r="Q869" s="1"/>
      <c r="S869" s="24"/>
      <c r="T869" s="1"/>
      <c r="U869" s="1"/>
      <c r="V869" s="24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24"/>
      <c r="G870" s="1"/>
      <c r="H870" s="1"/>
      <c r="I870" s="1"/>
      <c r="J870" s="25"/>
      <c r="K870" s="1"/>
      <c r="L870" s="1"/>
      <c r="M870" s="1"/>
      <c r="N870" s="25"/>
      <c r="O870" s="25"/>
      <c r="P870" s="24"/>
      <c r="Q870" s="1"/>
      <c r="S870" s="24"/>
      <c r="T870" s="1"/>
      <c r="U870" s="1"/>
      <c r="V870" s="24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24"/>
      <c r="G871" s="1"/>
      <c r="H871" s="1"/>
      <c r="I871" s="1"/>
      <c r="J871" s="25"/>
      <c r="K871" s="1"/>
      <c r="L871" s="1"/>
      <c r="M871" s="1"/>
      <c r="N871" s="25"/>
      <c r="O871" s="25"/>
      <c r="P871" s="24"/>
      <c r="Q871" s="1"/>
      <c r="S871" s="24"/>
      <c r="T871" s="1"/>
      <c r="U871" s="1"/>
      <c r="V871" s="24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24"/>
      <c r="G872" s="1"/>
      <c r="H872" s="1"/>
      <c r="I872" s="1"/>
      <c r="J872" s="25"/>
      <c r="K872" s="1"/>
      <c r="L872" s="1"/>
      <c r="M872" s="1"/>
      <c r="N872" s="25"/>
      <c r="O872" s="25"/>
      <c r="P872" s="24"/>
      <c r="Q872" s="1"/>
      <c r="S872" s="24"/>
      <c r="T872" s="1"/>
      <c r="U872" s="1"/>
      <c r="V872" s="24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24"/>
      <c r="G873" s="1"/>
      <c r="H873" s="1"/>
      <c r="I873" s="1"/>
      <c r="J873" s="25"/>
      <c r="K873" s="1"/>
      <c r="L873" s="1"/>
      <c r="M873" s="1"/>
      <c r="N873" s="25"/>
      <c r="O873" s="25"/>
      <c r="P873" s="24"/>
      <c r="Q873" s="1"/>
      <c r="S873" s="24"/>
      <c r="T873" s="1"/>
      <c r="U873" s="1"/>
      <c r="V873" s="24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24"/>
      <c r="G874" s="1"/>
      <c r="H874" s="1"/>
      <c r="I874" s="1"/>
      <c r="J874" s="25"/>
      <c r="K874" s="1"/>
      <c r="L874" s="1"/>
      <c r="M874" s="1"/>
      <c r="N874" s="25"/>
      <c r="O874" s="25"/>
      <c r="P874" s="24"/>
      <c r="Q874" s="1"/>
      <c r="S874" s="24"/>
      <c r="T874" s="1"/>
      <c r="U874" s="1"/>
      <c r="V874" s="24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24"/>
      <c r="G875" s="1"/>
      <c r="H875" s="1"/>
      <c r="I875" s="1"/>
      <c r="J875" s="25"/>
      <c r="K875" s="1"/>
      <c r="L875" s="1"/>
      <c r="M875" s="1"/>
      <c r="N875" s="25"/>
      <c r="O875" s="25"/>
      <c r="P875" s="24"/>
      <c r="Q875" s="1"/>
      <c r="S875" s="24"/>
      <c r="T875" s="1"/>
      <c r="U875" s="1"/>
      <c r="V875" s="24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24"/>
      <c r="G876" s="1"/>
      <c r="H876" s="1"/>
      <c r="I876" s="1"/>
      <c r="J876" s="25"/>
      <c r="K876" s="1"/>
      <c r="L876" s="1"/>
      <c r="M876" s="1"/>
      <c r="N876" s="25"/>
      <c r="O876" s="25"/>
      <c r="P876" s="24"/>
      <c r="Q876" s="1"/>
      <c r="S876" s="24"/>
      <c r="T876" s="1"/>
      <c r="U876" s="1"/>
      <c r="V876" s="24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24"/>
      <c r="G877" s="1"/>
      <c r="H877" s="1"/>
      <c r="I877" s="1"/>
      <c r="J877" s="25"/>
      <c r="K877" s="1"/>
      <c r="L877" s="1"/>
      <c r="M877" s="1"/>
      <c r="N877" s="25"/>
      <c r="O877" s="25"/>
      <c r="P877" s="24"/>
      <c r="Q877" s="1"/>
      <c r="S877" s="24"/>
      <c r="T877" s="1"/>
      <c r="U877" s="1"/>
      <c r="V877" s="24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24"/>
      <c r="G878" s="1"/>
      <c r="H878" s="1"/>
      <c r="I878" s="1"/>
      <c r="J878" s="25"/>
      <c r="K878" s="1"/>
      <c r="L878" s="1"/>
      <c r="M878" s="1"/>
      <c r="N878" s="25"/>
      <c r="O878" s="25"/>
      <c r="P878" s="24"/>
      <c r="Q878" s="1"/>
      <c r="S878" s="24"/>
      <c r="T878" s="1"/>
      <c r="U878" s="1"/>
      <c r="V878" s="24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24"/>
      <c r="G879" s="1"/>
      <c r="H879" s="1"/>
      <c r="I879" s="1"/>
      <c r="J879" s="25"/>
      <c r="K879" s="1"/>
      <c r="L879" s="1"/>
      <c r="M879" s="1"/>
      <c r="N879" s="25"/>
      <c r="O879" s="25"/>
      <c r="P879" s="24"/>
      <c r="Q879" s="1"/>
      <c r="S879" s="24"/>
      <c r="T879" s="1"/>
      <c r="U879" s="1"/>
      <c r="V879" s="24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24"/>
      <c r="G880" s="1"/>
      <c r="H880" s="1"/>
      <c r="I880" s="1"/>
      <c r="J880" s="25"/>
      <c r="K880" s="1"/>
      <c r="L880" s="1"/>
      <c r="M880" s="1"/>
      <c r="N880" s="25"/>
      <c r="O880" s="25"/>
      <c r="P880" s="24"/>
      <c r="Q880" s="1"/>
      <c r="S880" s="24"/>
      <c r="T880" s="1"/>
      <c r="U880" s="1"/>
      <c r="V880" s="24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24"/>
      <c r="G881" s="1"/>
      <c r="H881" s="1"/>
      <c r="I881" s="1"/>
      <c r="J881" s="25"/>
      <c r="K881" s="1"/>
      <c r="L881" s="1"/>
      <c r="M881" s="1"/>
      <c r="N881" s="25"/>
      <c r="O881" s="25"/>
      <c r="P881" s="24"/>
      <c r="Q881" s="1"/>
      <c r="S881" s="24"/>
      <c r="T881" s="1"/>
      <c r="U881" s="1"/>
      <c r="V881" s="24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24"/>
      <c r="G882" s="1"/>
      <c r="H882" s="1"/>
      <c r="I882" s="1"/>
      <c r="J882" s="25"/>
      <c r="K882" s="1"/>
      <c r="L882" s="1"/>
      <c r="M882" s="1"/>
      <c r="N882" s="25"/>
      <c r="O882" s="25"/>
      <c r="P882" s="24"/>
      <c r="Q882" s="1"/>
      <c r="S882" s="24"/>
      <c r="T882" s="1"/>
      <c r="U882" s="1"/>
      <c r="V882" s="24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24"/>
      <c r="G883" s="1"/>
      <c r="H883" s="1"/>
      <c r="I883" s="1"/>
      <c r="J883" s="25"/>
      <c r="K883" s="1"/>
      <c r="L883" s="1"/>
      <c r="M883" s="1"/>
      <c r="N883" s="25"/>
      <c r="O883" s="25"/>
      <c r="P883" s="24"/>
      <c r="Q883" s="1"/>
      <c r="S883" s="24"/>
      <c r="T883" s="1"/>
      <c r="U883" s="1"/>
      <c r="V883" s="24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24"/>
      <c r="G884" s="1"/>
      <c r="H884" s="1"/>
      <c r="I884" s="1"/>
      <c r="J884" s="25"/>
      <c r="K884" s="1"/>
      <c r="L884" s="1"/>
      <c r="M884" s="1"/>
      <c r="N884" s="25"/>
      <c r="O884" s="25"/>
      <c r="P884" s="24"/>
      <c r="Q884" s="1"/>
      <c r="S884" s="24"/>
      <c r="T884" s="1"/>
      <c r="U884" s="1"/>
      <c r="V884" s="24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24"/>
      <c r="G885" s="1"/>
      <c r="H885" s="1"/>
      <c r="I885" s="1"/>
      <c r="J885" s="25"/>
      <c r="K885" s="1"/>
      <c r="L885" s="1"/>
      <c r="M885" s="1"/>
      <c r="N885" s="25"/>
      <c r="O885" s="25"/>
      <c r="P885" s="24"/>
      <c r="Q885" s="1"/>
      <c r="S885" s="24"/>
      <c r="T885" s="1"/>
      <c r="U885" s="1"/>
      <c r="V885" s="24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24"/>
      <c r="G886" s="1"/>
      <c r="H886" s="1"/>
      <c r="I886" s="1"/>
      <c r="J886" s="25"/>
      <c r="K886" s="1"/>
      <c r="L886" s="1"/>
      <c r="M886" s="1"/>
      <c r="N886" s="25"/>
      <c r="O886" s="25"/>
      <c r="P886" s="24"/>
      <c r="Q886" s="1"/>
      <c r="S886" s="24"/>
      <c r="T886" s="1"/>
      <c r="U886" s="1"/>
      <c r="V886" s="24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24"/>
      <c r="G887" s="1"/>
      <c r="H887" s="1"/>
      <c r="I887" s="1"/>
      <c r="J887" s="25"/>
      <c r="K887" s="1"/>
      <c r="L887" s="1"/>
      <c r="M887" s="1"/>
      <c r="N887" s="25"/>
      <c r="O887" s="25"/>
      <c r="P887" s="24"/>
      <c r="Q887" s="1"/>
      <c r="S887" s="24"/>
      <c r="T887" s="1"/>
      <c r="U887" s="1"/>
      <c r="V887" s="24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24"/>
      <c r="G888" s="1"/>
      <c r="H888" s="1"/>
      <c r="I888" s="1"/>
      <c r="J888" s="25"/>
      <c r="K888" s="1"/>
      <c r="L888" s="1"/>
      <c r="M888" s="1"/>
      <c r="N888" s="25"/>
      <c r="O888" s="25"/>
      <c r="P888" s="24"/>
      <c r="Q888" s="1"/>
      <c r="S888" s="24"/>
      <c r="T888" s="1"/>
      <c r="U888" s="1"/>
      <c r="V888" s="24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24"/>
      <c r="G889" s="1"/>
      <c r="H889" s="1"/>
      <c r="I889" s="1"/>
      <c r="J889" s="25"/>
      <c r="K889" s="1"/>
      <c r="L889" s="1"/>
      <c r="M889" s="1"/>
      <c r="N889" s="25"/>
      <c r="O889" s="25"/>
      <c r="P889" s="24"/>
      <c r="Q889" s="1"/>
      <c r="S889" s="24"/>
      <c r="T889" s="1"/>
      <c r="U889" s="1"/>
      <c r="V889" s="24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24"/>
      <c r="G890" s="1"/>
      <c r="H890" s="1"/>
      <c r="I890" s="1"/>
      <c r="J890" s="25"/>
      <c r="K890" s="1"/>
      <c r="L890" s="1"/>
      <c r="M890" s="1"/>
      <c r="N890" s="25"/>
      <c r="O890" s="25"/>
      <c r="P890" s="24"/>
      <c r="Q890" s="1"/>
      <c r="S890" s="24"/>
      <c r="T890" s="1"/>
      <c r="U890" s="1"/>
      <c r="V890" s="24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24"/>
      <c r="G891" s="1"/>
      <c r="H891" s="1"/>
      <c r="I891" s="1"/>
      <c r="J891" s="25"/>
      <c r="K891" s="1"/>
      <c r="L891" s="1"/>
      <c r="M891" s="1"/>
      <c r="N891" s="25"/>
      <c r="O891" s="25"/>
      <c r="P891" s="24"/>
      <c r="Q891" s="1"/>
      <c r="S891" s="24"/>
      <c r="T891" s="1"/>
      <c r="U891" s="1"/>
      <c r="V891" s="24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24"/>
      <c r="G892" s="1"/>
      <c r="H892" s="1"/>
      <c r="I892" s="1"/>
      <c r="J892" s="25"/>
      <c r="K892" s="1"/>
      <c r="L892" s="1"/>
      <c r="M892" s="1"/>
      <c r="N892" s="25"/>
      <c r="O892" s="25"/>
      <c r="P892" s="24"/>
      <c r="Q892" s="1"/>
      <c r="S892" s="24"/>
      <c r="T892" s="1"/>
      <c r="U892" s="1"/>
      <c r="V892" s="24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24"/>
      <c r="G893" s="1"/>
      <c r="H893" s="1"/>
      <c r="I893" s="1"/>
      <c r="J893" s="25"/>
      <c r="K893" s="1"/>
      <c r="L893" s="1"/>
      <c r="M893" s="1"/>
      <c r="N893" s="25"/>
      <c r="O893" s="25"/>
      <c r="P893" s="24"/>
      <c r="Q893" s="1"/>
      <c r="S893" s="24"/>
      <c r="T893" s="1"/>
      <c r="U893" s="1"/>
      <c r="V893" s="24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24"/>
      <c r="G894" s="1"/>
      <c r="H894" s="1"/>
      <c r="I894" s="1"/>
      <c r="J894" s="25"/>
      <c r="K894" s="1"/>
      <c r="L894" s="1"/>
      <c r="M894" s="1"/>
      <c r="N894" s="25"/>
      <c r="O894" s="25"/>
      <c r="P894" s="24"/>
      <c r="Q894" s="1"/>
      <c r="S894" s="24"/>
      <c r="T894" s="1"/>
      <c r="U894" s="1"/>
      <c r="V894" s="24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24"/>
      <c r="G895" s="1"/>
      <c r="H895" s="1"/>
      <c r="I895" s="1"/>
      <c r="J895" s="25"/>
      <c r="K895" s="1"/>
      <c r="L895" s="1"/>
      <c r="M895" s="1"/>
      <c r="N895" s="25"/>
      <c r="O895" s="25"/>
      <c r="P895" s="24"/>
      <c r="Q895" s="1"/>
      <c r="S895" s="24"/>
      <c r="T895" s="1"/>
      <c r="U895" s="1"/>
      <c r="V895" s="24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24"/>
      <c r="G896" s="1"/>
      <c r="H896" s="1"/>
      <c r="I896" s="1"/>
      <c r="J896" s="25"/>
      <c r="K896" s="1"/>
      <c r="L896" s="1"/>
      <c r="M896" s="1"/>
      <c r="N896" s="25"/>
      <c r="O896" s="25"/>
      <c r="P896" s="24"/>
      <c r="Q896" s="1"/>
      <c r="S896" s="24"/>
      <c r="T896" s="1"/>
      <c r="U896" s="1"/>
      <c r="V896" s="24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24"/>
      <c r="G897" s="1"/>
      <c r="H897" s="1"/>
      <c r="I897" s="1"/>
      <c r="J897" s="25"/>
      <c r="K897" s="1"/>
      <c r="L897" s="1"/>
      <c r="M897" s="1"/>
      <c r="N897" s="25"/>
      <c r="O897" s="25"/>
      <c r="P897" s="24"/>
      <c r="Q897" s="1"/>
      <c r="S897" s="24"/>
      <c r="T897" s="1"/>
      <c r="U897" s="1"/>
      <c r="V897" s="24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24"/>
      <c r="G898" s="1"/>
      <c r="H898" s="1"/>
      <c r="I898" s="1"/>
      <c r="J898" s="25"/>
      <c r="K898" s="1"/>
      <c r="L898" s="1"/>
      <c r="M898" s="1"/>
      <c r="N898" s="25"/>
      <c r="O898" s="25"/>
      <c r="P898" s="24"/>
      <c r="Q898" s="1"/>
      <c r="S898" s="24"/>
      <c r="T898" s="1"/>
      <c r="U898" s="1"/>
      <c r="V898" s="24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24"/>
      <c r="G899" s="1"/>
      <c r="H899" s="1"/>
      <c r="I899" s="1"/>
      <c r="J899" s="25"/>
      <c r="K899" s="1"/>
      <c r="L899" s="1"/>
      <c r="M899" s="1"/>
      <c r="N899" s="25"/>
      <c r="O899" s="25"/>
      <c r="P899" s="24"/>
      <c r="Q899" s="1"/>
      <c r="S899" s="24"/>
      <c r="T899" s="1"/>
      <c r="U899" s="1"/>
      <c r="V899" s="24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24"/>
      <c r="G900" s="1"/>
      <c r="H900" s="1"/>
      <c r="I900" s="1"/>
      <c r="J900" s="25"/>
      <c r="K900" s="1"/>
      <c r="L900" s="1"/>
      <c r="M900" s="1"/>
      <c r="N900" s="25"/>
      <c r="O900" s="25"/>
      <c r="P900" s="24"/>
      <c r="Q900" s="1"/>
      <c r="S900" s="24"/>
      <c r="T900" s="1"/>
      <c r="U900" s="1"/>
      <c r="V900" s="24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24"/>
      <c r="G901" s="1"/>
      <c r="H901" s="1"/>
      <c r="I901" s="1"/>
      <c r="J901" s="25"/>
      <c r="K901" s="1"/>
      <c r="L901" s="1"/>
      <c r="M901" s="1"/>
      <c r="N901" s="25"/>
      <c r="O901" s="25"/>
      <c r="P901" s="24"/>
      <c r="Q901" s="1"/>
      <c r="S901" s="24"/>
      <c r="T901" s="1"/>
      <c r="U901" s="1"/>
      <c r="V901" s="24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24"/>
      <c r="G902" s="1"/>
      <c r="H902" s="1"/>
      <c r="I902" s="1"/>
      <c r="J902" s="25"/>
      <c r="K902" s="1"/>
      <c r="L902" s="1"/>
      <c r="M902" s="1"/>
      <c r="N902" s="25"/>
      <c r="O902" s="25"/>
      <c r="P902" s="24"/>
      <c r="Q902" s="1"/>
      <c r="S902" s="24"/>
      <c r="T902" s="1"/>
      <c r="U902" s="1"/>
      <c r="V902" s="24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24"/>
      <c r="G903" s="1"/>
      <c r="H903" s="1"/>
      <c r="I903" s="1"/>
      <c r="J903" s="25"/>
      <c r="K903" s="1"/>
      <c r="L903" s="1"/>
      <c r="M903" s="1"/>
      <c r="N903" s="25"/>
      <c r="O903" s="25"/>
      <c r="P903" s="24"/>
      <c r="Q903" s="1"/>
      <c r="S903" s="24"/>
      <c r="T903" s="1"/>
      <c r="U903" s="1"/>
      <c r="V903" s="24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24"/>
      <c r="G904" s="1"/>
      <c r="H904" s="1"/>
      <c r="I904" s="1"/>
      <c r="J904" s="25"/>
      <c r="K904" s="1"/>
      <c r="L904" s="1"/>
      <c r="M904" s="1"/>
      <c r="N904" s="25"/>
      <c r="O904" s="25"/>
      <c r="P904" s="24"/>
      <c r="Q904" s="1"/>
      <c r="S904" s="24"/>
      <c r="T904" s="1"/>
      <c r="U904" s="1"/>
      <c r="V904" s="24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24"/>
      <c r="G905" s="1"/>
      <c r="H905" s="1"/>
      <c r="I905" s="1"/>
      <c r="J905" s="25"/>
      <c r="K905" s="1"/>
      <c r="L905" s="1"/>
      <c r="M905" s="1"/>
      <c r="N905" s="25"/>
      <c r="O905" s="25"/>
      <c r="P905" s="24"/>
      <c r="Q905" s="1"/>
      <c r="S905" s="24"/>
      <c r="T905" s="1"/>
      <c r="U905" s="1"/>
      <c r="V905" s="24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24"/>
      <c r="G906" s="1"/>
      <c r="H906" s="1"/>
      <c r="I906" s="1"/>
      <c r="J906" s="25"/>
      <c r="K906" s="1"/>
      <c r="L906" s="1"/>
      <c r="M906" s="1"/>
      <c r="N906" s="25"/>
      <c r="O906" s="25"/>
      <c r="P906" s="24"/>
      <c r="Q906" s="1"/>
      <c r="S906" s="24"/>
      <c r="T906" s="1"/>
      <c r="U906" s="1"/>
      <c r="V906" s="24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24"/>
      <c r="G907" s="1"/>
      <c r="H907" s="1"/>
      <c r="I907" s="1"/>
      <c r="J907" s="25"/>
      <c r="K907" s="1"/>
      <c r="L907" s="1"/>
      <c r="M907" s="1"/>
      <c r="N907" s="25"/>
      <c r="O907" s="25"/>
      <c r="P907" s="24"/>
      <c r="Q907" s="1"/>
      <c r="S907" s="24"/>
      <c r="T907" s="1"/>
      <c r="U907" s="1"/>
      <c r="V907" s="24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24"/>
      <c r="G908" s="1"/>
      <c r="H908" s="1"/>
      <c r="I908" s="1"/>
      <c r="J908" s="25"/>
      <c r="K908" s="1"/>
      <c r="L908" s="1"/>
      <c r="M908" s="1"/>
      <c r="N908" s="25"/>
      <c r="O908" s="25"/>
      <c r="P908" s="24"/>
      <c r="Q908" s="1"/>
      <c r="S908" s="24"/>
      <c r="T908" s="1"/>
      <c r="U908" s="1"/>
      <c r="V908" s="24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24"/>
      <c r="G909" s="1"/>
      <c r="H909" s="1"/>
      <c r="I909" s="1"/>
      <c r="J909" s="25"/>
      <c r="K909" s="1"/>
      <c r="L909" s="1"/>
      <c r="M909" s="1"/>
      <c r="N909" s="25"/>
      <c r="O909" s="25"/>
      <c r="P909" s="24"/>
      <c r="Q909" s="1"/>
      <c r="S909" s="24"/>
      <c r="T909" s="1"/>
      <c r="U909" s="1"/>
      <c r="V909" s="24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24"/>
      <c r="G910" s="1"/>
      <c r="H910" s="1"/>
      <c r="I910" s="1"/>
      <c r="J910" s="25"/>
      <c r="K910" s="1"/>
      <c r="L910" s="1"/>
      <c r="M910" s="1"/>
      <c r="N910" s="25"/>
      <c r="O910" s="25"/>
      <c r="P910" s="24"/>
      <c r="Q910" s="1"/>
      <c r="S910" s="24"/>
      <c r="T910" s="1"/>
      <c r="U910" s="1"/>
      <c r="V910" s="24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24"/>
      <c r="G911" s="1"/>
      <c r="H911" s="1"/>
      <c r="I911" s="1"/>
      <c r="J911" s="25"/>
      <c r="K911" s="1"/>
      <c r="L911" s="1"/>
      <c r="M911" s="1"/>
      <c r="N911" s="25"/>
      <c r="O911" s="25"/>
      <c r="P911" s="24"/>
      <c r="Q911" s="1"/>
      <c r="S911" s="24"/>
      <c r="T911" s="1"/>
      <c r="U911" s="1"/>
      <c r="V911" s="24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24"/>
      <c r="G912" s="1"/>
      <c r="H912" s="1"/>
      <c r="I912" s="1"/>
      <c r="J912" s="25"/>
      <c r="K912" s="1"/>
      <c r="L912" s="1"/>
      <c r="M912" s="1"/>
      <c r="N912" s="25"/>
      <c r="O912" s="25"/>
      <c r="P912" s="24"/>
      <c r="Q912" s="1"/>
      <c r="S912" s="24"/>
      <c r="T912" s="1"/>
      <c r="U912" s="1"/>
      <c r="V912" s="24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24"/>
      <c r="G913" s="1"/>
      <c r="H913" s="1"/>
      <c r="I913" s="1"/>
      <c r="J913" s="25"/>
      <c r="K913" s="1"/>
      <c r="L913" s="1"/>
      <c r="M913" s="1"/>
      <c r="N913" s="25"/>
      <c r="O913" s="25"/>
      <c r="P913" s="24"/>
      <c r="Q913" s="1"/>
      <c r="S913" s="24"/>
      <c r="T913" s="1"/>
      <c r="U913" s="1"/>
      <c r="V913" s="24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24"/>
      <c r="G914" s="1"/>
      <c r="H914" s="1"/>
      <c r="I914" s="1"/>
      <c r="J914" s="25"/>
      <c r="K914" s="1"/>
      <c r="L914" s="1"/>
      <c r="M914" s="1"/>
      <c r="N914" s="25"/>
      <c r="O914" s="25"/>
      <c r="P914" s="24"/>
      <c r="Q914" s="1"/>
      <c r="S914" s="24"/>
      <c r="T914" s="1"/>
      <c r="U914" s="1"/>
      <c r="V914" s="24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24"/>
      <c r="G915" s="1"/>
      <c r="H915" s="1"/>
      <c r="I915" s="1"/>
      <c r="J915" s="25"/>
      <c r="K915" s="1"/>
      <c r="L915" s="1"/>
      <c r="M915" s="1"/>
      <c r="N915" s="25"/>
      <c r="O915" s="25"/>
      <c r="P915" s="24"/>
      <c r="Q915" s="1"/>
      <c r="S915" s="24"/>
      <c r="T915" s="1"/>
      <c r="U915" s="1"/>
      <c r="V915" s="24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24"/>
      <c r="G916" s="1"/>
      <c r="H916" s="1"/>
      <c r="I916" s="1"/>
      <c r="J916" s="25"/>
      <c r="K916" s="1"/>
      <c r="L916" s="1"/>
      <c r="M916" s="1"/>
      <c r="N916" s="25"/>
      <c r="O916" s="25"/>
      <c r="P916" s="24"/>
      <c r="Q916" s="1"/>
      <c r="S916" s="24"/>
      <c r="T916" s="1"/>
      <c r="U916" s="1"/>
      <c r="V916" s="24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24"/>
      <c r="G917" s="1"/>
      <c r="H917" s="1"/>
      <c r="I917" s="1"/>
      <c r="J917" s="25"/>
      <c r="K917" s="1"/>
      <c r="L917" s="1"/>
      <c r="M917" s="1"/>
      <c r="N917" s="25"/>
      <c r="O917" s="25"/>
      <c r="P917" s="24"/>
      <c r="Q917" s="1"/>
      <c r="S917" s="24"/>
      <c r="T917" s="1"/>
      <c r="U917" s="1"/>
      <c r="V917" s="24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24"/>
      <c r="G918" s="1"/>
      <c r="H918" s="1"/>
      <c r="I918" s="1"/>
      <c r="J918" s="25"/>
      <c r="K918" s="1"/>
      <c r="L918" s="1"/>
      <c r="M918" s="1"/>
      <c r="N918" s="25"/>
      <c r="O918" s="25"/>
      <c r="P918" s="24"/>
      <c r="Q918" s="1"/>
      <c r="S918" s="24"/>
      <c r="T918" s="1"/>
      <c r="U918" s="1"/>
      <c r="V918" s="24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24"/>
      <c r="G919" s="1"/>
      <c r="H919" s="1"/>
      <c r="I919" s="1"/>
      <c r="J919" s="25"/>
      <c r="K919" s="1"/>
      <c r="L919" s="1"/>
      <c r="M919" s="1"/>
      <c r="N919" s="25"/>
      <c r="O919" s="25"/>
      <c r="P919" s="24"/>
      <c r="Q919" s="1"/>
      <c r="S919" s="24"/>
      <c r="T919" s="1"/>
      <c r="U919" s="1"/>
      <c r="V919" s="24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24"/>
      <c r="G920" s="1"/>
      <c r="H920" s="1"/>
      <c r="I920" s="1"/>
      <c r="J920" s="25"/>
      <c r="K920" s="1"/>
      <c r="L920" s="1"/>
      <c r="M920" s="1"/>
      <c r="N920" s="25"/>
      <c r="O920" s="25"/>
      <c r="P920" s="24"/>
      <c r="Q920" s="1"/>
      <c r="S920" s="24"/>
      <c r="T920" s="1"/>
      <c r="U920" s="1"/>
      <c r="V920" s="24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24"/>
      <c r="G921" s="1"/>
      <c r="H921" s="1"/>
      <c r="I921" s="1"/>
      <c r="J921" s="25"/>
      <c r="K921" s="1"/>
      <c r="L921" s="1"/>
      <c r="M921" s="1"/>
      <c r="N921" s="25"/>
      <c r="O921" s="25"/>
      <c r="P921" s="24"/>
      <c r="Q921" s="1"/>
      <c r="S921" s="24"/>
      <c r="T921" s="1"/>
      <c r="U921" s="1"/>
      <c r="V921" s="24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24"/>
      <c r="G922" s="1"/>
      <c r="H922" s="1"/>
      <c r="I922" s="1"/>
      <c r="J922" s="25"/>
      <c r="K922" s="1"/>
      <c r="L922" s="1"/>
      <c r="M922" s="1"/>
      <c r="N922" s="25"/>
      <c r="O922" s="25"/>
      <c r="P922" s="24"/>
      <c r="Q922" s="1"/>
      <c r="S922" s="24"/>
      <c r="T922" s="1"/>
      <c r="U922" s="1"/>
      <c r="V922" s="24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24"/>
      <c r="G923" s="1"/>
      <c r="H923" s="1"/>
      <c r="I923" s="1"/>
      <c r="J923" s="25"/>
      <c r="K923" s="1"/>
      <c r="L923" s="1"/>
      <c r="M923" s="1"/>
      <c r="N923" s="25"/>
      <c r="O923" s="25"/>
      <c r="P923" s="24"/>
      <c r="Q923" s="1"/>
      <c r="S923" s="24"/>
      <c r="T923" s="1"/>
      <c r="U923" s="1"/>
      <c r="V923" s="24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24"/>
      <c r="G924" s="1"/>
      <c r="H924" s="1"/>
      <c r="I924" s="1"/>
      <c r="J924" s="25"/>
      <c r="K924" s="1"/>
      <c r="L924" s="1"/>
      <c r="M924" s="1"/>
      <c r="N924" s="25"/>
      <c r="O924" s="25"/>
      <c r="P924" s="24"/>
      <c r="Q924" s="1"/>
      <c r="S924" s="24"/>
      <c r="T924" s="1"/>
      <c r="U924" s="1"/>
      <c r="V924" s="24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24"/>
      <c r="G925" s="1"/>
      <c r="H925" s="1"/>
      <c r="I925" s="1"/>
      <c r="J925" s="25"/>
      <c r="K925" s="1"/>
      <c r="L925" s="1"/>
      <c r="M925" s="1"/>
      <c r="N925" s="25"/>
      <c r="O925" s="25"/>
      <c r="P925" s="24"/>
      <c r="Q925" s="1"/>
      <c r="S925" s="24"/>
      <c r="T925" s="1"/>
      <c r="U925" s="1"/>
      <c r="V925" s="24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24"/>
      <c r="G926" s="1"/>
      <c r="H926" s="1"/>
      <c r="I926" s="1"/>
      <c r="J926" s="25"/>
      <c r="K926" s="1"/>
      <c r="L926" s="1"/>
      <c r="M926" s="1"/>
      <c r="N926" s="25"/>
      <c r="O926" s="25"/>
      <c r="P926" s="24"/>
      <c r="Q926" s="1"/>
      <c r="S926" s="24"/>
      <c r="T926" s="1"/>
      <c r="U926" s="1"/>
      <c r="V926" s="24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24"/>
      <c r="G927" s="1"/>
      <c r="H927" s="1"/>
      <c r="I927" s="1"/>
      <c r="J927" s="25"/>
      <c r="K927" s="1"/>
      <c r="L927" s="1"/>
      <c r="M927" s="1"/>
      <c r="N927" s="25"/>
      <c r="O927" s="25"/>
      <c r="P927" s="24"/>
      <c r="Q927" s="1"/>
      <c r="S927" s="24"/>
      <c r="T927" s="1"/>
      <c r="U927" s="1"/>
      <c r="V927" s="24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24"/>
      <c r="G928" s="1"/>
      <c r="H928" s="1"/>
      <c r="I928" s="1"/>
      <c r="J928" s="25"/>
      <c r="K928" s="1"/>
      <c r="L928" s="1"/>
      <c r="M928" s="1"/>
      <c r="N928" s="25"/>
      <c r="O928" s="25"/>
      <c r="P928" s="24"/>
      <c r="Q928" s="1"/>
      <c r="S928" s="24"/>
      <c r="T928" s="1"/>
      <c r="U928" s="1"/>
      <c r="V928" s="24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24"/>
      <c r="G929" s="1"/>
      <c r="H929" s="1"/>
      <c r="I929" s="1"/>
      <c r="J929" s="25"/>
      <c r="K929" s="1"/>
      <c r="L929" s="1"/>
      <c r="M929" s="1"/>
      <c r="N929" s="25"/>
      <c r="O929" s="25"/>
      <c r="P929" s="24"/>
      <c r="Q929" s="1"/>
      <c r="S929" s="24"/>
      <c r="T929" s="1"/>
      <c r="U929" s="1"/>
      <c r="V929" s="24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24"/>
      <c r="G930" s="1"/>
      <c r="H930" s="1"/>
      <c r="I930" s="1"/>
      <c r="J930" s="25"/>
      <c r="K930" s="1"/>
      <c r="L930" s="1"/>
      <c r="M930" s="1"/>
      <c r="N930" s="25"/>
      <c r="O930" s="25"/>
      <c r="P930" s="24"/>
      <c r="Q930" s="1"/>
      <c r="S930" s="24"/>
      <c r="T930" s="1"/>
      <c r="U930" s="1"/>
      <c r="V930" s="24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24"/>
      <c r="G931" s="1"/>
      <c r="H931" s="1"/>
      <c r="I931" s="1"/>
      <c r="J931" s="25"/>
      <c r="K931" s="1"/>
      <c r="L931" s="1"/>
      <c r="M931" s="1"/>
      <c r="N931" s="25"/>
      <c r="O931" s="25"/>
      <c r="P931" s="24"/>
      <c r="Q931" s="1"/>
      <c r="S931" s="24"/>
      <c r="T931" s="1"/>
      <c r="U931" s="1"/>
      <c r="V931" s="24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24"/>
      <c r="G932" s="1"/>
      <c r="H932" s="1"/>
      <c r="I932" s="1"/>
      <c r="J932" s="25"/>
      <c r="K932" s="1"/>
      <c r="L932" s="1"/>
      <c r="M932" s="1"/>
      <c r="N932" s="25"/>
      <c r="O932" s="25"/>
      <c r="P932" s="24"/>
      <c r="Q932" s="1"/>
      <c r="S932" s="24"/>
      <c r="T932" s="1"/>
      <c r="U932" s="1"/>
      <c r="V932" s="24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24"/>
      <c r="G933" s="1"/>
      <c r="H933" s="1"/>
      <c r="I933" s="1"/>
      <c r="J933" s="25"/>
      <c r="K933" s="1"/>
      <c r="L933" s="1"/>
      <c r="M933" s="1"/>
      <c r="N933" s="25"/>
      <c r="O933" s="25"/>
      <c r="P933" s="24"/>
      <c r="Q933" s="1"/>
      <c r="S933" s="24"/>
      <c r="T933" s="1"/>
      <c r="U933" s="1"/>
      <c r="V933" s="24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24"/>
      <c r="G934" s="1"/>
      <c r="H934" s="1"/>
      <c r="I934" s="1"/>
      <c r="J934" s="25"/>
      <c r="K934" s="1"/>
      <c r="L934" s="1"/>
      <c r="M934" s="1"/>
      <c r="N934" s="25"/>
      <c r="O934" s="25"/>
      <c r="P934" s="24"/>
      <c r="Q934" s="1"/>
      <c r="S934" s="24"/>
      <c r="T934" s="1"/>
      <c r="U934" s="1"/>
      <c r="V934" s="24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24"/>
      <c r="G935" s="1"/>
      <c r="H935" s="1"/>
      <c r="I935" s="1"/>
      <c r="J935" s="25"/>
      <c r="K935" s="1"/>
      <c r="L935" s="1"/>
      <c r="M935" s="1"/>
      <c r="N935" s="25"/>
      <c r="O935" s="25"/>
      <c r="P935" s="24"/>
      <c r="Q935" s="1"/>
      <c r="S935" s="24"/>
      <c r="T935" s="1"/>
      <c r="U935" s="1"/>
      <c r="V935" s="24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24"/>
      <c r="G936" s="1"/>
      <c r="H936" s="1"/>
      <c r="I936" s="1"/>
      <c r="J936" s="25"/>
      <c r="K936" s="1"/>
      <c r="L936" s="1"/>
      <c r="M936" s="1"/>
      <c r="N936" s="25"/>
      <c r="O936" s="25"/>
      <c r="P936" s="24"/>
      <c r="Q936" s="1"/>
      <c r="S936" s="24"/>
      <c r="T936" s="1"/>
      <c r="U936" s="1"/>
      <c r="V936" s="24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24"/>
      <c r="G937" s="1"/>
      <c r="H937" s="1"/>
      <c r="I937" s="1"/>
      <c r="J937" s="25"/>
      <c r="K937" s="1"/>
      <c r="L937" s="1"/>
      <c r="M937" s="1"/>
      <c r="N937" s="25"/>
      <c r="O937" s="25"/>
      <c r="P937" s="24"/>
      <c r="Q937" s="1"/>
      <c r="S937" s="24"/>
      <c r="T937" s="1"/>
      <c r="U937" s="1"/>
      <c r="V937" s="24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24"/>
      <c r="G938" s="1"/>
      <c r="H938" s="1"/>
      <c r="I938" s="1"/>
      <c r="J938" s="25"/>
      <c r="K938" s="1"/>
      <c r="L938" s="1"/>
      <c r="M938" s="1"/>
      <c r="N938" s="25"/>
      <c r="O938" s="25"/>
      <c r="P938" s="24"/>
      <c r="Q938" s="1"/>
      <c r="S938" s="24"/>
      <c r="T938" s="1"/>
      <c r="U938" s="1"/>
      <c r="V938" s="24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24"/>
      <c r="G939" s="1"/>
      <c r="H939" s="1"/>
      <c r="I939" s="1"/>
      <c r="J939" s="25"/>
      <c r="K939" s="1"/>
      <c r="L939" s="1"/>
      <c r="M939" s="1"/>
      <c r="N939" s="25"/>
      <c r="O939" s="25"/>
      <c r="P939" s="24"/>
      <c r="Q939" s="1"/>
      <c r="S939" s="24"/>
      <c r="T939" s="1"/>
      <c r="U939" s="1"/>
      <c r="V939" s="24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24"/>
      <c r="G940" s="1"/>
      <c r="H940" s="1"/>
      <c r="I940" s="1"/>
      <c r="J940" s="25"/>
      <c r="K940" s="1"/>
      <c r="L940" s="1"/>
      <c r="M940" s="1"/>
      <c r="N940" s="25"/>
      <c r="O940" s="25"/>
      <c r="P940" s="24"/>
      <c r="Q940" s="1"/>
      <c r="S940" s="24"/>
      <c r="T940" s="1"/>
      <c r="U940" s="1"/>
      <c r="V940" s="24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24"/>
      <c r="G941" s="1"/>
      <c r="H941" s="1"/>
      <c r="I941" s="1"/>
      <c r="J941" s="25"/>
      <c r="K941" s="1"/>
      <c r="L941" s="1"/>
      <c r="M941" s="1"/>
      <c r="N941" s="25"/>
      <c r="O941" s="25"/>
      <c r="P941" s="24"/>
      <c r="Q941" s="1"/>
      <c r="S941" s="24"/>
      <c r="T941" s="1"/>
      <c r="U941" s="1"/>
      <c r="V941" s="24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24"/>
      <c r="G942" s="1"/>
      <c r="H942" s="1"/>
      <c r="I942" s="1"/>
      <c r="J942" s="25"/>
      <c r="K942" s="1"/>
      <c r="L942" s="1"/>
      <c r="M942" s="1"/>
      <c r="N942" s="25"/>
      <c r="O942" s="25"/>
      <c r="P942" s="24"/>
      <c r="Q942" s="1"/>
      <c r="S942" s="24"/>
      <c r="T942" s="1"/>
      <c r="U942" s="1"/>
      <c r="V942" s="24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24"/>
      <c r="G943" s="1"/>
      <c r="H943" s="1"/>
      <c r="I943" s="1"/>
      <c r="J943" s="25"/>
      <c r="K943" s="1"/>
      <c r="L943" s="1"/>
      <c r="M943" s="1"/>
      <c r="N943" s="25"/>
      <c r="O943" s="25"/>
      <c r="P943" s="24"/>
      <c r="Q943" s="1"/>
      <c r="S943" s="24"/>
      <c r="T943" s="1"/>
      <c r="U943" s="1"/>
      <c r="V943" s="24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24"/>
      <c r="G944" s="1"/>
      <c r="H944" s="1"/>
      <c r="I944" s="1"/>
      <c r="J944" s="25"/>
      <c r="K944" s="1"/>
      <c r="L944" s="1"/>
      <c r="M944" s="1"/>
      <c r="N944" s="25"/>
      <c r="O944" s="25"/>
      <c r="P944" s="24"/>
      <c r="Q944" s="1"/>
      <c r="S944" s="24"/>
      <c r="T944" s="1"/>
      <c r="U944" s="1"/>
      <c r="V944" s="24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24"/>
      <c r="G945" s="1"/>
      <c r="H945" s="1"/>
      <c r="I945" s="1"/>
      <c r="J945" s="25"/>
      <c r="K945" s="1"/>
      <c r="L945" s="1"/>
      <c r="M945" s="1"/>
      <c r="N945" s="25"/>
      <c r="O945" s="25"/>
      <c r="P945" s="24"/>
      <c r="Q945" s="1"/>
      <c r="S945" s="24"/>
      <c r="T945" s="1"/>
      <c r="U945" s="1"/>
      <c r="V945" s="24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24"/>
      <c r="G946" s="1"/>
      <c r="H946" s="1"/>
      <c r="I946" s="1"/>
      <c r="J946" s="25"/>
      <c r="K946" s="1"/>
      <c r="L946" s="1"/>
      <c r="M946" s="1"/>
      <c r="N946" s="25"/>
      <c r="O946" s="25"/>
      <c r="P946" s="24"/>
      <c r="Q946" s="1"/>
      <c r="S946" s="24"/>
      <c r="T946" s="1"/>
      <c r="U946" s="1"/>
      <c r="V946" s="24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24"/>
      <c r="G947" s="1"/>
      <c r="H947" s="1"/>
      <c r="I947" s="1"/>
      <c r="J947" s="25"/>
      <c r="K947" s="1"/>
      <c r="L947" s="1"/>
      <c r="M947" s="1"/>
      <c r="N947" s="25"/>
      <c r="O947" s="25"/>
      <c r="P947" s="24"/>
      <c r="Q947" s="1"/>
      <c r="S947" s="24"/>
      <c r="T947" s="1"/>
      <c r="U947" s="1"/>
      <c r="V947" s="24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24"/>
      <c r="G948" s="1"/>
      <c r="H948" s="1"/>
      <c r="I948" s="1"/>
      <c r="J948" s="25"/>
      <c r="K948" s="1"/>
      <c r="L948" s="1"/>
      <c r="M948" s="1"/>
      <c r="N948" s="25"/>
      <c r="O948" s="25"/>
      <c r="P948" s="24"/>
      <c r="Q948" s="1"/>
      <c r="S948" s="24"/>
      <c r="T948" s="1"/>
      <c r="U948" s="1"/>
      <c r="V948" s="24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24"/>
      <c r="G949" s="1"/>
      <c r="H949" s="1"/>
      <c r="I949" s="1"/>
      <c r="J949" s="25"/>
      <c r="K949" s="1"/>
      <c r="L949" s="1"/>
      <c r="M949" s="1"/>
      <c r="N949" s="25"/>
      <c r="O949" s="25"/>
      <c r="P949" s="24"/>
      <c r="Q949" s="1"/>
      <c r="S949" s="24"/>
      <c r="T949" s="1"/>
      <c r="U949" s="1"/>
      <c r="V949" s="24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24"/>
      <c r="G950" s="1"/>
      <c r="H950" s="1"/>
      <c r="I950" s="1"/>
      <c r="J950" s="25"/>
      <c r="K950" s="1"/>
      <c r="L950" s="1"/>
      <c r="M950" s="1"/>
      <c r="N950" s="25"/>
      <c r="O950" s="25"/>
      <c r="P950" s="24"/>
      <c r="Q950" s="1"/>
      <c r="S950" s="24"/>
      <c r="T950" s="1"/>
      <c r="U950" s="1"/>
      <c r="V950" s="24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24"/>
      <c r="G951" s="1"/>
      <c r="H951" s="1"/>
      <c r="I951" s="1"/>
      <c r="J951" s="25"/>
      <c r="K951" s="1"/>
      <c r="L951" s="1"/>
      <c r="M951" s="1"/>
      <c r="N951" s="25"/>
      <c r="O951" s="25"/>
      <c r="P951" s="24"/>
      <c r="Q951" s="1"/>
      <c r="S951" s="24"/>
      <c r="T951" s="1"/>
      <c r="U951" s="1"/>
      <c r="V951" s="24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24"/>
      <c r="G952" s="1"/>
      <c r="H952" s="1"/>
      <c r="I952" s="1"/>
      <c r="J952" s="25"/>
      <c r="K952" s="1"/>
      <c r="L952" s="1"/>
      <c r="M952" s="1"/>
      <c r="N952" s="25"/>
      <c r="O952" s="25"/>
      <c r="P952" s="24"/>
      <c r="Q952" s="1"/>
      <c r="S952" s="24"/>
      <c r="T952" s="1"/>
      <c r="U952" s="1"/>
      <c r="V952" s="24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24"/>
      <c r="G953" s="1"/>
      <c r="H953" s="1"/>
      <c r="I953" s="1"/>
      <c r="J953" s="25"/>
      <c r="K953" s="1"/>
      <c r="L953" s="1"/>
      <c r="M953" s="1"/>
      <c r="N953" s="25"/>
      <c r="O953" s="25"/>
      <c r="P953" s="24"/>
      <c r="Q953" s="1"/>
      <c r="S953" s="24"/>
      <c r="T953" s="1"/>
      <c r="U953" s="1"/>
      <c r="V953" s="24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24"/>
      <c r="G954" s="1"/>
      <c r="H954" s="1"/>
      <c r="I954" s="1"/>
      <c r="J954" s="25"/>
      <c r="K954" s="1"/>
      <c r="L954" s="1"/>
      <c r="M954" s="1"/>
      <c r="N954" s="25"/>
      <c r="O954" s="25"/>
      <c r="P954" s="24"/>
      <c r="Q954" s="1"/>
      <c r="S954" s="24"/>
      <c r="T954" s="1"/>
      <c r="U954" s="1"/>
      <c r="V954" s="24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24"/>
      <c r="G955" s="1"/>
      <c r="H955" s="1"/>
      <c r="I955" s="1"/>
      <c r="J955" s="25"/>
      <c r="K955" s="1"/>
      <c r="L955" s="1"/>
      <c r="M955" s="1"/>
      <c r="N955" s="25"/>
      <c r="O955" s="25"/>
      <c r="P955" s="24"/>
      <c r="Q955" s="1"/>
      <c r="S955" s="24"/>
      <c r="T955" s="1"/>
      <c r="U955" s="1"/>
      <c r="V955" s="24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24"/>
      <c r="G956" s="1"/>
      <c r="H956" s="1"/>
      <c r="I956" s="1"/>
      <c r="J956" s="25"/>
      <c r="K956" s="1"/>
      <c r="L956" s="1"/>
      <c r="M956" s="1"/>
      <c r="N956" s="25"/>
      <c r="O956" s="25"/>
      <c r="P956" s="24"/>
      <c r="Q956" s="1"/>
      <c r="S956" s="24"/>
      <c r="T956" s="1"/>
      <c r="U956" s="1"/>
      <c r="V956" s="24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24"/>
      <c r="G957" s="1"/>
      <c r="H957" s="1"/>
      <c r="I957" s="1"/>
      <c r="J957" s="25"/>
      <c r="K957" s="1"/>
      <c r="L957" s="1"/>
      <c r="M957" s="1"/>
      <c r="N957" s="25"/>
      <c r="O957" s="25"/>
      <c r="P957" s="24"/>
      <c r="Q957" s="1"/>
      <c r="S957" s="24"/>
      <c r="T957" s="1"/>
      <c r="U957" s="1"/>
      <c r="V957" s="24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24"/>
      <c r="G958" s="1"/>
      <c r="H958" s="1"/>
      <c r="I958" s="1"/>
      <c r="J958" s="25"/>
      <c r="K958" s="1"/>
      <c r="L958" s="1"/>
      <c r="M958" s="1"/>
      <c r="N958" s="25"/>
      <c r="O958" s="25"/>
      <c r="P958" s="24"/>
      <c r="Q958" s="1"/>
      <c r="S958" s="24"/>
      <c r="T958" s="1"/>
      <c r="U958" s="1"/>
      <c r="V958" s="24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24"/>
      <c r="G959" s="1"/>
      <c r="H959" s="1"/>
      <c r="I959" s="1"/>
      <c r="J959" s="25"/>
      <c r="K959" s="1"/>
      <c r="L959" s="1"/>
      <c r="M959" s="1"/>
      <c r="N959" s="25"/>
      <c r="O959" s="25"/>
      <c r="P959" s="24"/>
      <c r="Q959" s="1"/>
      <c r="S959" s="24"/>
      <c r="T959" s="1"/>
      <c r="U959" s="1"/>
      <c r="V959" s="24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24"/>
      <c r="G960" s="1"/>
      <c r="H960" s="1"/>
      <c r="I960" s="1"/>
      <c r="J960" s="25"/>
      <c r="K960" s="1"/>
      <c r="L960" s="1"/>
      <c r="M960" s="1"/>
      <c r="N960" s="25"/>
      <c r="O960" s="25"/>
      <c r="P960" s="24"/>
      <c r="Q960" s="1"/>
      <c r="S960" s="24"/>
      <c r="T960" s="1"/>
      <c r="U960" s="1"/>
      <c r="V960" s="24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24"/>
      <c r="G961" s="1"/>
      <c r="H961" s="1"/>
      <c r="I961" s="1"/>
      <c r="J961" s="25"/>
      <c r="K961" s="1"/>
      <c r="L961" s="1"/>
      <c r="M961" s="1"/>
      <c r="N961" s="25"/>
      <c r="O961" s="25"/>
      <c r="P961" s="24"/>
      <c r="Q961" s="1"/>
      <c r="S961" s="24"/>
      <c r="T961" s="1"/>
      <c r="U961" s="1"/>
      <c r="V961" s="24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24"/>
      <c r="G962" s="1"/>
      <c r="H962" s="1"/>
      <c r="I962" s="1"/>
      <c r="J962" s="25"/>
      <c r="K962" s="1"/>
      <c r="L962" s="1"/>
      <c r="M962" s="1"/>
      <c r="N962" s="25"/>
      <c r="O962" s="25"/>
      <c r="P962" s="24"/>
      <c r="Q962" s="1"/>
      <c r="S962" s="24"/>
      <c r="T962" s="1"/>
      <c r="U962" s="1"/>
      <c r="V962" s="24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24"/>
      <c r="G963" s="1"/>
      <c r="H963" s="1"/>
      <c r="I963" s="1"/>
      <c r="J963" s="25"/>
      <c r="K963" s="1"/>
      <c r="L963" s="1"/>
      <c r="M963" s="1"/>
      <c r="N963" s="25"/>
      <c r="O963" s="25"/>
      <c r="P963" s="24"/>
      <c r="Q963" s="1"/>
      <c r="S963" s="24"/>
      <c r="T963" s="1"/>
      <c r="U963" s="1"/>
      <c r="V963" s="24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24"/>
      <c r="G964" s="1"/>
      <c r="H964" s="1"/>
      <c r="I964" s="1"/>
      <c r="J964" s="25"/>
      <c r="K964" s="1"/>
      <c r="L964" s="1"/>
      <c r="M964" s="1"/>
      <c r="N964" s="25"/>
      <c r="O964" s="25"/>
      <c r="P964" s="24"/>
      <c r="Q964" s="1"/>
      <c r="S964" s="24"/>
      <c r="T964" s="1"/>
      <c r="U964" s="1"/>
      <c r="V964" s="24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24"/>
      <c r="G965" s="1"/>
      <c r="H965" s="1"/>
      <c r="I965" s="1"/>
      <c r="J965" s="25"/>
      <c r="K965" s="1"/>
      <c r="L965" s="1"/>
      <c r="M965" s="1"/>
      <c r="N965" s="25"/>
      <c r="O965" s="25"/>
      <c r="P965" s="24"/>
      <c r="Q965" s="1"/>
      <c r="S965" s="24"/>
      <c r="T965" s="1"/>
      <c r="U965" s="1"/>
      <c r="V965" s="24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24"/>
      <c r="G966" s="1"/>
      <c r="H966" s="1"/>
      <c r="I966" s="1"/>
      <c r="J966" s="25"/>
      <c r="K966" s="1"/>
      <c r="L966" s="1"/>
      <c r="M966" s="1"/>
      <c r="N966" s="25"/>
      <c r="O966" s="25"/>
      <c r="P966" s="24"/>
      <c r="Q966" s="1"/>
      <c r="S966" s="24"/>
      <c r="T966" s="1"/>
      <c r="U966" s="1"/>
      <c r="V966" s="24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24"/>
      <c r="G967" s="1"/>
      <c r="H967" s="1"/>
      <c r="I967" s="1"/>
      <c r="J967" s="25"/>
      <c r="K967" s="1"/>
      <c r="L967" s="1"/>
      <c r="M967" s="1"/>
      <c r="N967" s="25"/>
      <c r="O967" s="25"/>
      <c r="P967" s="24"/>
      <c r="Q967" s="1"/>
      <c r="S967" s="24"/>
      <c r="T967" s="1"/>
      <c r="U967" s="1"/>
      <c r="V967" s="24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24"/>
      <c r="G968" s="1"/>
      <c r="H968" s="1"/>
      <c r="I968" s="1"/>
      <c r="J968" s="25"/>
      <c r="K968" s="1"/>
      <c r="L968" s="1"/>
      <c r="M968" s="1"/>
      <c r="N968" s="25"/>
      <c r="O968" s="25"/>
      <c r="P968" s="24"/>
      <c r="Q968" s="1"/>
      <c r="S968" s="24"/>
      <c r="T968" s="1"/>
      <c r="U968" s="1"/>
      <c r="V968" s="24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24"/>
      <c r="G969" s="1"/>
      <c r="H969" s="1"/>
      <c r="I969" s="1"/>
      <c r="J969" s="25"/>
      <c r="K969" s="1"/>
      <c r="L969" s="1"/>
      <c r="M969" s="1"/>
      <c r="N969" s="25"/>
      <c r="O969" s="25"/>
      <c r="P969" s="24"/>
      <c r="Q969" s="1"/>
      <c r="S969" s="24"/>
      <c r="T969" s="1"/>
      <c r="U969" s="1"/>
      <c r="V969" s="24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24"/>
      <c r="G970" s="1"/>
      <c r="H970" s="1"/>
      <c r="I970" s="1"/>
      <c r="J970" s="25"/>
      <c r="K970" s="1"/>
      <c r="L970" s="1"/>
      <c r="M970" s="1"/>
      <c r="N970" s="25"/>
      <c r="O970" s="25"/>
      <c r="P970" s="24"/>
      <c r="Q970" s="1"/>
      <c r="S970" s="24"/>
      <c r="T970" s="1"/>
      <c r="U970" s="1"/>
      <c r="V970" s="24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24"/>
      <c r="G971" s="1"/>
      <c r="H971" s="1"/>
      <c r="I971" s="1"/>
      <c r="J971" s="25"/>
      <c r="K971" s="1"/>
      <c r="L971" s="1"/>
      <c r="M971" s="1"/>
      <c r="N971" s="25"/>
      <c r="O971" s="25"/>
      <c r="P971" s="24"/>
      <c r="Q971" s="1"/>
      <c r="S971" s="24"/>
      <c r="T971" s="1"/>
      <c r="U971" s="1"/>
      <c r="V971" s="24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24"/>
      <c r="G972" s="1"/>
      <c r="H972" s="1"/>
      <c r="I972" s="1"/>
      <c r="J972" s="25"/>
      <c r="K972" s="1"/>
      <c r="L972" s="1"/>
      <c r="M972" s="1"/>
      <c r="N972" s="25"/>
      <c r="O972" s="25"/>
      <c r="P972" s="24"/>
      <c r="Q972" s="1"/>
      <c r="S972" s="24"/>
      <c r="T972" s="1"/>
      <c r="U972" s="1"/>
      <c r="V972" s="24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24"/>
      <c r="G973" s="1"/>
      <c r="H973" s="1"/>
      <c r="I973" s="1"/>
      <c r="J973" s="25"/>
      <c r="K973" s="1"/>
      <c r="L973" s="1"/>
      <c r="M973" s="1"/>
      <c r="N973" s="25"/>
      <c r="O973" s="25"/>
      <c r="P973" s="24"/>
      <c r="Q973" s="1"/>
      <c r="S973" s="24"/>
      <c r="T973" s="1"/>
      <c r="U973" s="1"/>
      <c r="V973" s="24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24"/>
      <c r="G974" s="1"/>
      <c r="H974" s="1"/>
      <c r="I974" s="1"/>
      <c r="J974" s="25"/>
      <c r="K974" s="1"/>
      <c r="L974" s="1"/>
      <c r="M974" s="1"/>
      <c r="N974" s="25"/>
      <c r="O974" s="25"/>
      <c r="P974" s="24"/>
      <c r="Q974" s="1"/>
      <c r="S974" s="24"/>
      <c r="T974" s="1"/>
      <c r="U974" s="1"/>
      <c r="V974" s="24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24"/>
      <c r="G975" s="1"/>
      <c r="H975" s="1"/>
      <c r="I975" s="1"/>
      <c r="J975" s="25"/>
      <c r="K975" s="1"/>
      <c r="L975" s="1"/>
      <c r="M975" s="1"/>
      <c r="N975" s="25"/>
      <c r="O975" s="25"/>
      <c r="P975" s="24"/>
      <c r="Q975" s="1"/>
      <c r="S975" s="24"/>
      <c r="T975" s="1"/>
      <c r="U975" s="1"/>
      <c r="V975" s="24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24"/>
      <c r="G976" s="1"/>
      <c r="H976" s="1"/>
      <c r="I976" s="1"/>
      <c r="J976" s="25"/>
      <c r="K976" s="1"/>
      <c r="L976" s="1"/>
      <c r="M976" s="1"/>
      <c r="N976" s="25"/>
      <c r="O976" s="25"/>
      <c r="P976" s="24"/>
      <c r="Q976" s="1"/>
      <c r="S976" s="24"/>
      <c r="T976" s="1"/>
      <c r="U976" s="1"/>
      <c r="V976" s="24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24"/>
      <c r="G977" s="1"/>
      <c r="H977" s="1"/>
      <c r="I977" s="1"/>
      <c r="J977" s="25"/>
      <c r="K977" s="1"/>
      <c r="L977" s="1"/>
      <c r="M977" s="1"/>
      <c r="N977" s="25"/>
      <c r="O977" s="25"/>
      <c r="P977" s="24"/>
      <c r="Q977" s="1"/>
      <c r="S977" s="24"/>
      <c r="T977" s="1"/>
      <c r="U977" s="1"/>
      <c r="V977" s="24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24"/>
      <c r="G978" s="1"/>
      <c r="H978" s="1"/>
      <c r="I978" s="1"/>
      <c r="J978" s="25"/>
      <c r="K978" s="1"/>
      <c r="L978" s="1"/>
      <c r="M978" s="1"/>
      <c r="N978" s="25"/>
      <c r="O978" s="25"/>
      <c r="P978" s="24"/>
      <c r="Q978" s="1"/>
      <c r="S978" s="24"/>
      <c r="T978" s="1"/>
      <c r="U978" s="1"/>
      <c r="V978" s="24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24"/>
      <c r="G979" s="1"/>
      <c r="H979" s="1"/>
      <c r="I979" s="1"/>
      <c r="J979" s="25"/>
      <c r="K979" s="1"/>
      <c r="L979" s="1"/>
      <c r="M979" s="1"/>
      <c r="N979" s="25"/>
      <c r="O979" s="25"/>
      <c r="P979" s="24"/>
      <c r="Q979" s="1"/>
      <c r="S979" s="24"/>
      <c r="T979" s="1"/>
      <c r="U979" s="1"/>
      <c r="V979" s="24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24"/>
      <c r="G980" s="1"/>
      <c r="H980" s="1"/>
      <c r="I980" s="1"/>
      <c r="J980" s="25"/>
      <c r="K980" s="1"/>
      <c r="L980" s="1"/>
      <c r="M980" s="1"/>
      <c r="N980" s="25"/>
      <c r="O980" s="25"/>
      <c r="P980" s="24"/>
      <c r="Q980" s="1"/>
      <c r="S980" s="24"/>
      <c r="T980" s="1"/>
      <c r="U980" s="1"/>
      <c r="V980" s="24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24"/>
      <c r="G981" s="1"/>
      <c r="H981" s="1"/>
      <c r="I981" s="1"/>
      <c r="J981" s="25"/>
      <c r="K981" s="1"/>
      <c r="L981" s="1"/>
      <c r="M981" s="1"/>
      <c r="N981" s="25"/>
      <c r="O981" s="25"/>
      <c r="P981" s="24"/>
      <c r="Q981" s="1"/>
      <c r="S981" s="24"/>
      <c r="T981" s="1"/>
      <c r="U981" s="1"/>
      <c r="V981" s="24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24"/>
      <c r="G982" s="1"/>
      <c r="H982" s="1"/>
      <c r="I982" s="1"/>
      <c r="J982" s="25"/>
      <c r="K982" s="1"/>
      <c r="L982" s="1"/>
      <c r="M982" s="1"/>
      <c r="N982" s="25"/>
      <c r="O982" s="25"/>
      <c r="P982" s="24"/>
      <c r="Q982" s="1"/>
      <c r="S982" s="24"/>
      <c r="T982" s="1"/>
      <c r="U982" s="1"/>
      <c r="V982" s="24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24"/>
      <c r="G983" s="1"/>
      <c r="H983" s="1"/>
      <c r="I983" s="1"/>
      <c r="J983" s="25"/>
      <c r="K983" s="1"/>
      <c r="L983" s="1"/>
      <c r="M983" s="1"/>
      <c r="N983" s="25"/>
      <c r="O983" s="25"/>
      <c r="P983" s="24"/>
      <c r="Q983" s="1"/>
      <c r="S983" s="24"/>
      <c r="T983" s="1"/>
      <c r="U983" s="1"/>
      <c r="V983" s="24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24"/>
      <c r="G984" s="1"/>
      <c r="H984" s="1"/>
      <c r="I984" s="1"/>
      <c r="J984" s="25"/>
      <c r="K984" s="1"/>
      <c r="L984" s="1"/>
      <c r="M984" s="1"/>
      <c r="N984" s="25"/>
      <c r="O984" s="25"/>
      <c r="P984" s="24"/>
      <c r="Q984" s="1"/>
      <c r="S984" s="24"/>
      <c r="T984" s="1"/>
      <c r="U984" s="1"/>
      <c r="V984" s="24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24"/>
      <c r="G985" s="1"/>
      <c r="H985" s="1"/>
      <c r="I985" s="1"/>
      <c r="J985" s="25"/>
      <c r="K985" s="1"/>
      <c r="L985" s="1"/>
      <c r="M985" s="1"/>
      <c r="N985" s="25"/>
      <c r="O985" s="25"/>
      <c r="P985" s="24"/>
      <c r="Q985" s="1"/>
      <c r="S985" s="24"/>
      <c r="T985" s="1"/>
      <c r="U985" s="1"/>
      <c r="V985" s="24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24"/>
      <c r="G986" s="1"/>
      <c r="H986" s="1"/>
      <c r="I986" s="1"/>
      <c r="J986" s="25"/>
      <c r="K986" s="1"/>
      <c r="L986" s="1"/>
      <c r="M986" s="1"/>
      <c r="N986" s="25"/>
      <c r="O986" s="25"/>
      <c r="P986" s="24"/>
      <c r="Q986" s="1"/>
      <c r="S986" s="24"/>
      <c r="T986" s="1"/>
      <c r="U986" s="1"/>
      <c r="V986" s="24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24"/>
      <c r="G987" s="1"/>
      <c r="H987" s="1"/>
      <c r="I987" s="1"/>
      <c r="J987" s="25"/>
      <c r="K987" s="1"/>
      <c r="L987" s="1"/>
      <c r="M987" s="1"/>
      <c r="N987" s="25"/>
      <c r="O987" s="25"/>
      <c r="P987" s="24"/>
      <c r="Q987" s="1"/>
      <c r="S987" s="24"/>
      <c r="T987" s="1"/>
      <c r="U987" s="1"/>
      <c r="V987" s="24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24"/>
      <c r="G988" s="1"/>
      <c r="H988" s="1"/>
      <c r="I988" s="1"/>
      <c r="J988" s="25"/>
      <c r="K988" s="1"/>
      <c r="L988" s="1"/>
      <c r="M988" s="1"/>
      <c r="N988" s="25"/>
      <c r="O988" s="25"/>
      <c r="P988" s="24"/>
      <c r="Q988" s="1"/>
      <c r="S988" s="24"/>
      <c r="T988" s="1"/>
      <c r="U988" s="1"/>
      <c r="V988" s="24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24"/>
      <c r="G989" s="1"/>
      <c r="H989" s="1"/>
      <c r="I989" s="1"/>
      <c r="J989" s="25"/>
      <c r="K989" s="1"/>
      <c r="L989" s="1"/>
      <c r="M989" s="1"/>
      <c r="N989" s="25"/>
      <c r="O989" s="25"/>
      <c r="P989" s="24"/>
      <c r="Q989" s="1"/>
      <c r="S989" s="24"/>
      <c r="T989" s="1"/>
      <c r="U989" s="1"/>
      <c r="V989" s="24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24"/>
      <c r="G990" s="1"/>
      <c r="H990" s="1"/>
      <c r="I990" s="1"/>
      <c r="J990" s="25"/>
      <c r="K990" s="1"/>
      <c r="L990" s="1"/>
      <c r="M990" s="1"/>
      <c r="N990" s="25"/>
      <c r="O990" s="25"/>
      <c r="P990" s="24"/>
      <c r="Q990" s="1"/>
      <c r="S990" s="24"/>
      <c r="T990" s="1"/>
      <c r="U990" s="1"/>
      <c r="V990" s="24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24"/>
      <c r="G991" s="1"/>
      <c r="H991" s="1"/>
      <c r="I991" s="1"/>
      <c r="J991" s="25"/>
      <c r="K991" s="1"/>
      <c r="L991" s="1"/>
      <c r="M991" s="1"/>
      <c r="N991" s="25"/>
      <c r="O991" s="25"/>
      <c r="P991" s="24"/>
      <c r="Q991" s="1"/>
      <c r="S991" s="24"/>
      <c r="T991" s="1"/>
      <c r="U991" s="1"/>
      <c r="V991" s="24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24"/>
      <c r="G992" s="1"/>
      <c r="H992" s="1"/>
      <c r="I992" s="1"/>
      <c r="J992" s="25"/>
      <c r="K992" s="1"/>
      <c r="L992" s="1"/>
      <c r="M992" s="1"/>
      <c r="N992" s="25"/>
      <c r="O992" s="25"/>
      <c r="P992" s="24"/>
      <c r="Q992" s="1"/>
      <c r="S992" s="24"/>
      <c r="T992" s="1"/>
      <c r="U992" s="1"/>
      <c r="V992" s="24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24"/>
      <c r="G993" s="1"/>
      <c r="H993" s="1"/>
      <c r="I993" s="1"/>
      <c r="J993" s="25"/>
      <c r="K993" s="1"/>
      <c r="L993" s="1"/>
      <c r="M993" s="1"/>
      <c r="N993" s="25"/>
      <c r="O993" s="25"/>
      <c r="P993" s="24"/>
      <c r="Q993" s="1"/>
      <c r="S993" s="24"/>
      <c r="T993" s="1"/>
      <c r="U993" s="1"/>
      <c r="V993" s="24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24"/>
      <c r="G994" s="1"/>
      <c r="H994" s="1"/>
      <c r="I994" s="1"/>
      <c r="J994" s="25"/>
      <c r="K994" s="1"/>
      <c r="L994" s="1"/>
      <c r="M994" s="1"/>
      <c r="N994" s="25"/>
      <c r="O994" s="25"/>
      <c r="P994" s="24"/>
      <c r="Q994" s="1"/>
      <c r="S994" s="24"/>
      <c r="T994" s="1"/>
      <c r="U994" s="1"/>
      <c r="V994" s="24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24"/>
      <c r="G995" s="1"/>
      <c r="H995" s="1"/>
      <c r="I995" s="1"/>
      <c r="J995" s="25"/>
      <c r="K995" s="1"/>
      <c r="L995" s="1"/>
      <c r="M995" s="1"/>
      <c r="N995" s="25"/>
      <c r="O995" s="25"/>
      <c r="P995" s="24"/>
      <c r="Q995" s="1"/>
      <c r="S995" s="24"/>
      <c r="T995" s="1"/>
      <c r="U995" s="1"/>
      <c r="V995" s="24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24"/>
      <c r="G996" s="1"/>
      <c r="H996" s="1"/>
      <c r="I996" s="1"/>
      <c r="J996" s="25"/>
      <c r="K996" s="1"/>
      <c r="L996" s="1"/>
      <c r="M996" s="1"/>
      <c r="N996" s="25"/>
      <c r="O996" s="25"/>
      <c r="P996" s="24"/>
      <c r="Q996" s="1"/>
      <c r="S996" s="24"/>
      <c r="T996" s="1"/>
      <c r="U996" s="1"/>
      <c r="V996" s="24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24"/>
      <c r="G997" s="1"/>
      <c r="H997" s="1"/>
      <c r="I997" s="1"/>
      <c r="J997" s="25"/>
      <c r="K997" s="1"/>
      <c r="L997" s="1"/>
      <c r="M997" s="1"/>
      <c r="N997" s="25"/>
      <c r="O997" s="25"/>
      <c r="P997" s="24"/>
      <c r="Q997" s="1"/>
      <c r="S997" s="24"/>
      <c r="T997" s="1"/>
      <c r="U997" s="1"/>
      <c r="V997" s="24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24"/>
      <c r="G998" s="1"/>
      <c r="H998" s="1"/>
      <c r="I998" s="1"/>
      <c r="J998" s="25"/>
      <c r="K998" s="1"/>
      <c r="L998" s="1"/>
      <c r="M998" s="1"/>
      <c r="N998" s="25"/>
      <c r="O998" s="25"/>
      <c r="P998" s="24"/>
      <c r="Q998" s="1"/>
      <c r="S998" s="24"/>
      <c r="T998" s="1"/>
      <c r="U998" s="1"/>
      <c r="V998" s="24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24"/>
      <c r="G999" s="1"/>
      <c r="H999" s="1"/>
      <c r="I999" s="1"/>
      <c r="J999" s="25"/>
      <c r="K999" s="1"/>
      <c r="L999" s="1"/>
      <c r="M999" s="1"/>
      <c r="N999" s="25"/>
      <c r="O999" s="25"/>
      <c r="P999" s="24"/>
      <c r="Q999" s="1"/>
      <c r="S999" s="24"/>
      <c r="T999" s="1"/>
      <c r="U999" s="1"/>
      <c r="V999" s="24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24"/>
      <c r="G1000" s="1"/>
      <c r="H1000" s="1"/>
      <c r="I1000" s="1"/>
      <c r="J1000" s="25"/>
      <c r="K1000" s="1"/>
      <c r="L1000" s="1"/>
      <c r="M1000" s="1"/>
      <c r="N1000" s="25"/>
      <c r="O1000" s="25"/>
      <c r="P1000" s="24"/>
      <c r="Q1000" s="1"/>
      <c r="S1000" s="24"/>
      <c r="T1000" s="1"/>
      <c r="U1000" s="1"/>
      <c r="V1000" s="24"/>
      <c r="W1000" s="1"/>
      <c r="X1000" s="1"/>
      <c r="Y1000" s="1"/>
      <c r="Z1000" s="1"/>
    </row>
  </sheetData>
  <mergeCells count="15">
    <mergeCell ref="T2:T3"/>
    <mergeCell ref="U2:U3"/>
    <mergeCell ref="V2:V3"/>
    <mergeCell ref="B2:B3"/>
    <mergeCell ref="C2:C3"/>
    <mergeCell ref="D2:D3"/>
    <mergeCell ref="E2:E3"/>
    <mergeCell ref="F2:F3"/>
    <mergeCell ref="J2:J3"/>
    <mergeCell ref="N2:N3"/>
    <mergeCell ref="O2:O3"/>
    <mergeCell ref="P2:P3"/>
    <mergeCell ref="Q2:Q3"/>
    <mergeCell ref="R2:R3"/>
    <mergeCell ref="S2:S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1.21875" defaultRowHeight="15" customHeight="1"/>
  <cols>
    <col min="1" max="1" width="4.33203125" customWidth="1"/>
    <col min="2" max="2" width="23.21875" customWidth="1"/>
    <col min="3" max="3" width="13.21875" customWidth="1"/>
    <col min="4" max="4" width="14.33203125" customWidth="1"/>
    <col min="5" max="5" width="12.88671875" customWidth="1"/>
    <col min="6" max="9" width="13.44140625" customWidth="1"/>
    <col min="10" max="10" width="10.88671875" customWidth="1"/>
    <col min="11" max="11" width="15" customWidth="1"/>
    <col min="12" max="12" width="14.77734375" customWidth="1"/>
    <col min="13" max="13" width="15.21875" customWidth="1"/>
    <col min="14" max="16" width="10.88671875" customWidth="1"/>
    <col min="17" max="17" width="19.33203125" customWidth="1"/>
    <col min="18" max="18" width="21.44140625" customWidth="1"/>
    <col min="19" max="19" width="13.33203125" customWidth="1"/>
    <col min="20" max="20" width="16.21875" customWidth="1"/>
    <col min="21" max="21" width="16.33203125" customWidth="1"/>
    <col min="22" max="22" width="14.33203125" customWidth="1"/>
    <col min="23" max="26" width="10.88671875" customWidth="1"/>
  </cols>
  <sheetData>
    <row r="1" spans="1:26" ht="15.75" customHeight="1">
      <c r="A1" s="1"/>
      <c r="B1" s="1"/>
      <c r="C1" s="1" t="s">
        <v>171</v>
      </c>
      <c r="D1" s="1"/>
      <c r="E1" s="1"/>
      <c r="F1" s="24" t="s">
        <v>186</v>
      </c>
      <c r="G1" s="1"/>
      <c r="H1" s="1"/>
      <c r="I1" s="1"/>
      <c r="J1" s="25"/>
      <c r="K1" s="1"/>
      <c r="L1" s="1"/>
      <c r="M1" s="1"/>
      <c r="N1" s="25"/>
      <c r="O1" s="25"/>
      <c r="P1" s="24"/>
      <c r="Q1" s="1"/>
      <c r="R1" s="1"/>
      <c r="S1" s="24"/>
      <c r="T1" s="1"/>
      <c r="U1" s="1"/>
      <c r="V1" s="24"/>
      <c r="W1" s="1"/>
      <c r="X1" s="1"/>
      <c r="Y1" s="1"/>
      <c r="Z1" s="1"/>
    </row>
    <row r="2" spans="1:26" ht="16.5" customHeight="1">
      <c r="A2" s="1"/>
      <c r="B2" s="56" t="s">
        <v>172</v>
      </c>
      <c r="C2" s="57" t="s">
        <v>1</v>
      </c>
      <c r="D2" s="57" t="s">
        <v>173</v>
      </c>
      <c r="E2" s="57" t="s">
        <v>3</v>
      </c>
      <c r="F2" s="59" t="s">
        <v>4</v>
      </c>
      <c r="G2" s="26"/>
      <c r="H2" s="26"/>
      <c r="I2" s="26"/>
      <c r="J2" s="60" t="s">
        <v>5</v>
      </c>
      <c r="K2" s="27"/>
      <c r="L2" s="27"/>
      <c r="M2" s="27"/>
      <c r="N2" s="60" t="s">
        <v>6</v>
      </c>
      <c r="O2" s="60" t="s">
        <v>7</v>
      </c>
      <c r="P2" s="58" t="s">
        <v>8</v>
      </c>
      <c r="Q2" s="57" t="s">
        <v>174</v>
      </c>
      <c r="R2" s="57" t="s">
        <v>175</v>
      </c>
      <c r="S2" s="58" t="s">
        <v>11</v>
      </c>
      <c r="T2" s="57" t="s">
        <v>187</v>
      </c>
      <c r="U2" s="61" t="s">
        <v>177</v>
      </c>
      <c r="V2" s="58" t="s">
        <v>14</v>
      </c>
      <c r="W2" s="1"/>
      <c r="X2" s="1"/>
      <c r="Y2" s="1"/>
      <c r="Z2" s="1"/>
    </row>
    <row r="3" spans="1:26" ht="15.75" customHeight="1">
      <c r="A3" s="1"/>
      <c r="B3" s="55"/>
      <c r="C3" s="55"/>
      <c r="D3" s="55"/>
      <c r="E3" s="55"/>
      <c r="F3" s="55"/>
      <c r="G3" s="28" t="s">
        <v>178</v>
      </c>
      <c r="H3" s="29" t="s">
        <v>179</v>
      </c>
      <c r="I3" s="29" t="s">
        <v>180</v>
      </c>
      <c r="J3" s="55"/>
      <c r="K3" s="28" t="s">
        <v>181</v>
      </c>
      <c r="L3" s="28" t="s">
        <v>182</v>
      </c>
      <c r="M3" s="29" t="s">
        <v>183</v>
      </c>
      <c r="N3" s="55"/>
      <c r="O3" s="55"/>
      <c r="P3" s="55"/>
      <c r="Q3" s="55"/>
      <c r="R3" s="55"/>
      <c r="S3" s="55"/>
      <c r="T3" s="55"/>
      <c r="U3" s="55"/>
      <c r="V3" s="55"/>
      <c r="W3" s="1"/>
      <c r="X3" s="1"/>
      <c r="Y3" s="1"/>
      <c r="Z3" s="1"/>
    </row>
    <row r="4" spans="1:26" ht="15.75" customHeight="1">
      <c r="A4" s="1"/>
      <c r="B4" s="2" t="s">
        <v>15</v>
      </c>
      <c r="C4" s="3"/>
      <c r="D4" s="3"/>
      <c r="E4" s="3"/>
      <c r="F4" s="30" t="e">
        <f>(C4-D4)/E4</f>
        <v>#DIV/0!</v>
      </c>
      <c r="G4" s="3"/>
      <c r="H4" s="3"/>
      <c r="I4" s="3"/>
      <c r="J4" s="31"/>
      <c r="K4" s="3"/>
      <c r="L4" s="3"/>
      <c r="M4" s="3"/>
      <c r="N4" s="31"/>
      <c r="O4" s="31"/>
      <c r="P4" s="30">
        <f>J4+N4-O4</f>
        <v>0</v>
      </c>
      <c r="Q4" s="3"/>
      <c r="R4" s="3"/>
      <c r="S4" s="30">
        <f>Q4-R4</f>
        <v>0</v>
      </c>
      <c r="T4" s="3"/>
      <c r="U4" s="3"/>
      <c r="V4" s="32" t="e">
        <f>T4/U4</f>
        <v>#DIV/0!</v>
      </c>
      <c r="W4" s="1"/>
      <c r="X4" s="1"/>
      <c r="Y4" s="1"/>
      <c r="Z4" s="1"/>
    </row>
    <row r="5" spans="1:26" ht="15.75" customHeight="1">
      <c r="A5" s="1"/>
      <c r="B5" s="5" t="s">
        <v>16</v>
      </c>
      <c r="C5" s="6"/>
      <c r="D5" s="6"/>
      <c r="E5" s="6"/>
      <c r="F5" s="33"/>
      <c r="G5" s="6"/>
      <c r="H5" s="6"/>
      <c r="I5" s="6"/>
      <c r="J5" s="34"/>
      <c r="K5" s="6"/>
      <c r="L5" s="6"/>
      <c r="M5" s="6"/>
      <c r="N5" s="34"/>
      <c r="O5" s="34"/>
      <c r="P5" s="33"/>
      <c r="Q5" s="6"/>
      <c r="R5" s="6"/>
      <c r="S5" s="33"/>
      <c r="T5" s="6"/>
      <c r="U5" s="6"/>
      <c r="V5" s="35"/>
      <c r="W5" s="1"/>
      <c r="X5" s="1"/>
      <c r="Y5" s="1"/>
      <c r="Z5" s="1"/>
    </row>
    <row r="6" spans="1:26" ht="15.75" customHeight="1">
      <c r="A6" s="1"/>
      <c r="B6" s="36" t="s">
        <v>184</v>
      </c>
      <c r="C6" s="6">
        <v>2927011</v>
      </c>
      <c r="D6" s="6">
        <v>5384803</v>
      </c>
      <c r="E6" s="6">
        <v>19626403</v>
      </c>
      <c r="F6" s="30">
        <f t="shared" ref="F6:F10" si="0">(C6-D6)/E6</f>
        <v>-0.12522885625042959</v>
      </c>
      <c r="G6" s="6">
        <v>880760</v>
      </c>
      <c r="H6" s="6">
        <v>7507994</v>
      </c>
      <c r="I6" s="6">
        <v>360</v>
      </c>
      <c r="J6" s="34">
        <f t="shared" ref="J6:J163" si="1">G6/(H6/I6)</f>
        <v>42.231466887160536</v>
      </c>
      <c r="K6" s="6">
        <f>24926+1335467</f>
        <v>1360393</v>
      </c>
      <c r="L6" s="6">
        <f>34678+1173613</f>
        <v>1208291</v>
      </c>
      <c r="M6" s="6">
        <v>9382120</v>
      </c>
      <c r="N6" s="34">
        <f t="shared" ref="N6:N163" si="2">(I6)/(M6/L6)</f>
        <v>46.363163123046817</v>
      </c>
      <c r="O6" s="34">
        <f t="shared" ref="O6:O163" si="3">(J6)/(I6/N6)</f>
        <v>5.4388455228193724</v>
      </c>
      <c r="P6" s="30">
        <f t="shared" ref="P6:P163" si="4">J6+N6-O6</f>
        <v>83.155784487387976</v>
      </c>
      <c r="Q6" s="6">
        <v>15999771</v>
      </c>
      <c r="R6" s="6">
        <v>16608121</v>
      </c>
      <c r="S6" s="30">
        <f t="shared" ref="S6:S163" si="5">Q6-R6</f>
        <v>-608350</v>
      </c>
      <c r="T6" s="38">
        <v>12429452</v>
      </c>
      <c r="U6" s="6">
        <v>7196951</v>
      </c>
      <c r="V6" s="32">
        <f t="shared" ref="V6:V163" si="6">T6/U6</f>
        <v>1.7270441329946529</v>
      </c>
      <c r="W6" s="1"/>
      <c r="X6" s="1"/>
      <c r="Y6" s="1"/>
      <c r="Z6" s="1"/>
    </row>
    <row r="7" spans="1:26" ht="15.75" customHeight="1">
      <c r="A7" s="1"/>
      <c r="B7" s="36" t="s">
        <v>18</v>
      </c>
      <c r="C7" s="38">
        <v>12883074</v>
      </c>
      <c r="D7" s="38">
        <v>3479024</v>
      </c>
      <c r="E7" s="38">
        <v>28863676</v>
      </c>
      <c r="F7" s="30">
        <f t="shared" si="0"/>
        <v>0.3258091588888401</v>
      </c>
      <c r="G7" s="38">
        <v>1768603</v>
      </c>
      <c r="H7" s="38">
        <v>9423490</v>
      </c>
      <c r="I7" s="6">
        <v>360</v>
      </c>
      <c r="J7" s="34">
        <f t="shared" si="1"/>
        <v>67.564891563529017</v>
      </c>
      <c r="K7" s="6">
        <f>77418+580524</f>
        <v>657942</v>
      </c>
      <c r="L7" s="6">
        <f>17719+2467081</f>
        <v>2484800</v>
      </c>
      <c r="M7" s="38">
        <v>14431211</v>
      </c>
      <c r="N7" s="34">
        <f t="shared" si="2"/>
        <v>61.985650407301229</v>
      </c>
      <c r="O7" s="34">
        <f t="shared" si="3"/>
        <v>11.633482634067017</v>
      </c>
      <c r="P7" s="30">
        <f t="shared" si="4"/>
        <v>117.91705933676322</v>
      </c>
      <c r="Q7" s="38">
        <v>14979453</v>
      </c>
      <c r="R7" s="38">
        <v>14643695</v>
      </c>
      <c r="S7" s="30">
        <f t="shared" si="5"/>
        <v>335758</v>
      </c>
      <c r="T7" s="38">
        <v>4307169</v>
      </c>
      <c r="U7" s="38">
        <v>24556507</v>
      </c>
      <c r="V7" s="32">
        <f t="shared" si="6"/>
        <v>0.17539827631022603</v>
      </c>
      <c r="W7" s="1"/>
      <c r="X7" s="1"/>
      <c r="Y7" s="1"/>
      <c r="Z7" s="1"/>
    </row>
    <row r="8" spans="1:26" ht="15.75" customHeight="1">
      <c r="A8" s="1"/>
      <c r="B8" s="36" t="s">
        <v>19</v>
      </c>
      <c r="C8" s="38">
        <v>1123602449</v>
      </c>
      <c r="D8" s="38">
        <v>668827967</v>
      </c>
      <c r="E8" s="38">
        <v>5060337247</v>
      </c>
      <c r="F8" s="30">
        <f t="shared" si="0"/>
        <v>8.9870390015924562E-2</v>
      </c>
      <c r="G8" s="38">
        <v>203191611</v>
      </c>
      <c r="H8" s="38">
        <v>1078706539</v>
      </c>
      <c r="I8" s="6">
        <v>360</v>
      </c>
      <c r="J8" s="34">
        <f t="shared" si="1"/>
        <v>67.811751681612819</v>
      </c>
      <c r="K8" s="38">
        <f>134806080+97657616</f>
        <v>232463696</v>
      </c>
      <c r="L8" s="38">
        <f>395770160+11898285</f>
        <v>407668445</v>
      </c>
      <c r="M8" s="38">
        <v>1551524990</v>
      </c>
      <c r="N8" s="34">
        <f t="shared" si="2"/>
        <v>94.591219056033381</v>
      </c>
      <c r="O8" s="34">
        <f t="shared" si="3"/>
        <v>17.817767383024382</v>
      </c>
      <c r="P8" s="30">
        <f t="shared" si="4"/>
        <v>144.58520335462183</v>
      </c>
      <c r="Q8" s="38">
        <v>3844488329</v>
      </c>
      <c r="R8" s="38">
        <v>3480075405</v>
      </c>
      <c r="S8" s="30">
        <f t="shared" si="5"/>
        <v>364412924</v>
      </c>
      <c r="T8" s="38">
        <v>1647477388</v>
      </c>
      <c r="U8" s="38">
        <v>1248119294</v>
      </c>
      <c r="V8" s="32">
        <f t="shared" si="6"/>
        <v>1.3199678876208447</v>
      </c>
      <c r="W8" s="1"/>
      <c r="X8" s="1"/>
      <c r="Y8" s="1"/>
      <c r="Z8" s="1"/>
    </row>
    <row r="9" spans="1:26" ht="15.75" customHeight="1">
      <c r="A9" s="1"/>
      <c r="B9" s="36" t="s">
        <v>20</v>
      </c>
      <c r="C9" s="38">
        <v>13801818533</v>
      </c>
      <c r="D9" s="38">
        <v>8803577054</v>
      </c>
      <c r="E9" s="38">
        <v>48963502966</v>
      </c>
      <c r="F9" s="30">
        <f t="shared" si="0"/>
        <v>0.10208096186399802</v>
      </c>
      <c r="G9" s="38">
        <v>3686332189</v>
      </c>
      <c r="H9" s="38">
        <v>19854065409</v>
      </c>
      <c r="I9" s="6">
        <v>360</v>
      </c>
      <c r="J9" s="34">
        <f t="shared" si="1"/>
        <v>66.841705247854406</v>
      </c>
      <c r="K9" s="6">
        <f>4070189302+856887653</f>
        <v>4927076955</v>
      </c>
      <c r="L9" s="6">
        <f>4031171228+854495086</f>
        <v>4885666314</v>
      </c>
      <c r="M9" s="38">
        <v>27813664176</v>
      </c>
      <c r="N9" s="34">
        <f t="shared" si="2"/>
        <v>63.236539490459407</v>
      </c>
      <c r="O9" s="34">
        <f t="shared" si="3"/>
        <v>11.741217037543313</v>
      </c>
      <c r="P9" s="30">
        <f t="shared" si="4"/>
        <v>118.33702770077049</v>
      </c>
      <c r="Q9" s="38">
        <v>32523309598</v>
      </c>
      <c r="R9" s="38">
        <v>30846750207</v>
      </c>
      <c r="S9" s="30">
        <f t="shared" si="5"/>
        <v>1676559391</v>
      </c>
      <c r="T9" s="38">
        <v>18524450664</v>
      </c>
      <c r="U9" s="38">
        <v>30439052302</v>
      </c>
      <c r="V9" s="32">
        <f t="shared" si="6"/>
        <v>0.60857514485701814</v>
      </c>
      <c r="W9" s="1"/>
      <c r="X9" s="1"/>
      <c r="Y9" s="1"/>
      <c r="Z9" s="1"/>
    </row>
    <row r="10" spans="1:26" ht="15.75" customHeight="1">
      <c r="A10" s="1"/>
      <c r="B10" s="36" t="s">
        <v>21</v>
      </c>
      <c r="C10" s="38">
        <v>4351377174399</v>
      </c>
      <c r="D10" s="38">
        <v>4216314368712</v>
      </c>
      <c r="E10" s="38">
        <v>7067976095043</v>
      </c>
      <c r="F10" s="30">
        <f t="shared" si="0"/>
        <v>1.9109120329612306E-2</v>
      </c>
      <c r="G10" s="38">
        <v>1034176711455</v>
      </c>
      <c r="H10" s="38">
        <v>4695623846375</v>
      </c>
      <c r="I10" s="6">
        <v>360</v>
      </c>
      <c r="J10" s="34">
        <f t="shared" si="1"/>
        <v>79.287359529706933</v>
      </c>
      <c r="K10" s="38">
        <f>1146005659243+77382191191</f>
        <v>1223387850434</v>
      </c>
      <c r="L10" s="6">
        <f>380881547744+838596731678</f>
        <v>1219478279422</v>
      </c>
      <c r="M10" s="38">
        <v>5362263237778</v>
      </c>
      <c r="N10" s="34">
        <f t="shared" si="2"/>
        <v>81.87068801453259</v>
      </c>
      <c r="O10" s="34">
        <f t="shared" si="3"/>
        <v>18.03141854320198</v>
      </c>
      <c r="P10" s="30">
        <f t="shared" si="4"/>
        <v>143.12662900103754</v>
      </c>
      <c r="Q10" s="38">
        <v>2679459038772</v>
      </c>
      <c r="R10" s="38">
        <v>2219223927235</v>
      </c>
      <c r="S10" s="30">
        <f t="shared" si="5"/>
        <v>460235111537</v>
      </c>
      <c r="T10" s="38">
        <v>4320040760958</v>
      </c>
      <c r="U10" s="38">
        <v>2747935334085</v>
      </c>
      <c r="V10" s="32">
        <f t="shared" si="6"/>
        <v>1.5721042294455867</v>
      </c>
      <c r="W10" s="1"/>
      <c r="X10" s="1"/>
      <c r="Y10" s="1"/>
      <c r="Z10" s="1"/>
    </row>
    <row r="11" spans="1:26" ht="15.75" customHeight="1">
      <c r="A11" s="1"/>
      <c r="B11" s="9" t="s">
        <v>22</v>
      </c>
      <c r="C11" s="6"/>
      <c r="D11" s="6"/>
      <c r="E11" s="6"/>
      <c r="F11" s="30"/>
      <c r="G11" s="6"/>
      <c r="H11" s="6"/>
      <c r="I11" s="6">
        <v>360</v>
      </c>
      <c r="J11" s="34" t="e">
        <f t="shared" si="1"/>
        <v>#DIV/0!</v>
      </c>
      <c r="K11" s="6"/>
      <c r="L11" s="6"/>
      <c r="M11" s="6"/>
      <c r="N11" s="34" t="e">
        <f t="shared" si="2"/>
        <v>#DIV/0!</v>
      </c>
      <c r="O11" s="34" t="e">
        <f t="shared" si="3"/>
        <v>#DIV/0!</v>
      </c>
      <c r="P11" s="30" t="e">
        <f t="shared" si="4"/>
        <v>#DIV/0!</v>
      </c>
      <c r="Q11" s="6"/>
      <c r="R11" s="6"/>
      <c r="S11" s="30">
        <f t="shared" si="5"/>
        <v>0</v>
      </c>
      <c r="T11" s="6"/>
      <c r="U11" s="6"/>
      <c r="V11" s="32" t="e">
        <f t="shared" si="6"/>
        <v>#DIV/0!</v>
      </c>
      <c r="W11" s="1"/>
      <c r="X11" s="1"/>
      <c r="Y11" s="1"/>
      <c r="Z11" s="1"/>
    </row>
    <row r="12" spans="1:26" ht="15.75" customHeight="1">
      <c r="A12" s="1"/>
      <c r="B12" s="36" t="s">
        <v>23</v>
      </c>
      <c r="C12" s="38">
        <v>740190524246</v>
      </c>
      <c r="D12" s="38">
        <v>455150838360</v>
      </c>
      <c r="E12" s="38">
        <v>1601346561573</v>
      </c>
      <c r="F12" s="30">
        <f t="shared" ref="F12:F17" si="7">(C12-D12)/E12</f>
        <v>0.17799999870484376</v>
      </c>
      <c r="G12" s="38">
        <v>150201267307</v>
      </c>
      <c r="H12" s="38">
        <v>1328188266126</v>
      </c>
      <c r="I12" s="6">
        <v>360</v>
      </c>
      <c r="J12" s="34">
        <f t="shared" si="1"/>
        <v>40.711439492110649</v>
      </c>
      <c r="K12" s="38">
        <v>212601679994</v>
      </c>
      <c r="L12" s="6">
        <f>502676230333+22834027951</f>
        <v>525510258284</v>
      </c>
      <c r="M12" s="38">
        <v>1732985361870</v>
      </c>
      <c r="N12" s="34">
        <f t="shared" si="2"/>
        <v>109.1663537065881</v>
      </c>
      <c r="O12" s="34">
        <f t="shared" si="3"/>
        <v>12.345331676389195</v>
      </c>
      <c r="P12" s="30">
        <f t="shared" si="4"/>
        <v>137.53246152230955</v>
      </c>
      <c r="Q12" s="38">
        <v>833704877050</v>
      </c>
      <c r="R12" s="38">
        <v>858698468313</v>
      </c>
      <c r="S12" s="30">
        <f t="shared" si="5"/>
        <v>-24993591263</v>
      </c>
      <c r="T12" s="38">
        <v>571946769034</v>
      </c>
      <c r="U12" s="38">
        <v>1029399792539</v>
      </c>
      <c r="V12" s="32">
        <f t="shared" si="6"/>
        <v>0.55561189460054328</v>
      </c>
      <c r="W12" s="1"/>
      <c r="X12" s="1"/>
      <c r="Y12" s="1"/>
      <c r="Z12" s="1"/>
    </row>
    <row r="13" spans="1:26" ht="15.75" customHeight="1">
      <c r="A13" s="1"/>
      <c r="B13" s="36" t="s">
        <v>24</v>
      </c>
      <c r="C13" s="38">
        <v>2003321</v>
      </c>
      <c r="D13" s="38">
        <v>996903</v>
      </c>
      <c r="E13" s="38">
        <v>6267816</v>
      </c>
      <c r="F13" s="30">
        <f t="shared" si="7"/>
        <v>0.16056916795260104</v>
      </c>
      <c r="G13" s="38">
        <v>1144420</v>
      </c>
      <c r="H13" s="38">
        <v>3298157</v>
      </c>
      <c r="I13" s="6">
        <v>360</v>
      </c>
      <c r="J13" s="34">
        <f t="shared" si="1"/>
        <v>124.91558164150464</v>
      </c>
      <c r="K13" s="38">
        <v>331917</v>
      </c>
      <c r="L13" s="38">
        <v>367771</v>
      </c>
      <c r="M13" s="38">
        <v>3885791</v>
      </c>
      <c r="N13" s="34">
        <f t="shared" si="2"/>
        <v>34.072228794600633</v>
      </c>
      <c r="O13" s="34">
        <f t="shared" si="3"/>
        <v>11.822645215833225</v>
      </c>
      <c r="P13" s="30">
        <f t="shared" si="4"/>
        <v>147.16516522027206</v>
      </c>
      <c r="Q13" s="38">
        <v>4068690</v>
      </c>
      <c r="R13" s="38">
        <v>3520207</v>
      </c>
      <c r="S13" s="30">
        <f t="shared" si="5"/>
        <v>548483</v>
      </c>
      <c r="T13" s="38">
        <v>2718939</v>
      </c>
      <c r="U13" s="38">
        <v>3548877</v>
      </c>
      <c r="V13" s="32">
        <f t="shared" si="6"/>
        <v>0.76614066928777746</v>
      </c>
      <c r="W13" s="1"/>
      <c r="X13" s="1"/>
      <c r="Y13" s="1"/>
      <c r="Z13" s="1"/>
    </row>
    <row r="14" spans="1:26" ht="15.75" customHeight="1">
      <c r="A14" s="1"/>
      <c r="B14" s="36" t="s">
        <v>25</v>
      </c>
      <c r="C14" s="38">
        <v>8077769</v>
      </c>
      <c r="D14" s="38">
        <v>239659851</v>
      </c>
      <c r="E14" s="38">
        <v>229825182</v>
      </c>
      <c r="F14" s="30">
        <f t="shared" si="7"/>
        <v>-1.0076445060750567</v>
      </c>
      <c r="G14" s="38">
        <v>3454842</v>
      </c>
      <c r="H14" s="38">
        <v>41222622</v>
      </c>
      <c r="I14" s="6">
        <v>360</v>
      </c>
      <c r="J14" s="34">
        <f t="shared" si="1"/>
        <v>30.17137337843284</v>
      </c>
      <c r="K14" s="38">
        <v>25007164</v>
      </c>
      <c r="L14" s="38">
        <v>1286740</v>
      </c>
      <c r="M14" s="38">
        <v>13297423</v>
      </c>
      <c r="N14" s="34">
        <f t="shared" si="2"/>
        <v>34.835802395697272</v>
      </c>
      <c r="O14" s="34">
        <f t="shared" si="3"/>
        <v>2.9195666694941322</v>
      </c>
      <c r="P14" s="30">
        <f t="shared" si="4"/>
        <v>62.087609104635973</v>
      </c>
      <c r="Q14" s="38">
        <v>125173141</v>
      </c>
      <c r="R14" s="38">
        <v>130597249</v>
      </c>
      <c r="S14" s="30">
        <f t="shared" si="5"/>
        <v>-5424108</v>
      </c>
      <c r="T14" s="38">
        <v>335252238</v>
      </c>
      <c r="U14" s="38">
        <v>105427056</v>
      </c>
      <c r="V14" s="32">
        <f t="shared" si="6"/>
        <v>3.1799449849002706</v>
      </c>
      <c r="W14" s="1"/>
      <c r="X14" s="1"/>
      <c r="Y14" s="1"/>
      <c r="Z14" s="1"/>
    </row>
    <row r="15" spans="1:26" ht="15.75" customHeight="1">
      <c r="A15" s="1"/>
      <c r="B15" s="36" t="s">
        <v>26</v>
      </c>
      <c r="C15" s="38">
        <v>527456452373</v>
      </c>
      <c r="D15" s="38">
        <v>169750005433</v>
      </c>
      <c r="E15" s="38">
        <v>1767603505697</v>
      </c>
      <c r="F15" s="30">
        <f t="shared" si="7"/>
        <v>0.2023680343397766</v>
      </c>
      <c r="G15" s="38">
        <v>103727893040</v>
      </c>
      <c r="H15" s="38">
        <v>807285117720</v>
      </c>
      <c r="I15" s="6">
        <v>360</v>
      </c>
      <c r="J15" s="34">
        <f t="shared" si="1"/>
        <v>46.256323416272572</v>
      </c>
      <c r="K15" s="6">
        <f>85517632277+6691117845</f>
        <v>92208750122</v>
      </c>
      <c r="L15" s="6">
        <f>2574622457+396614531803</f>
        <v>399189154260</v>
      </c>
      <c r="M15" s="38">
        <v>810064124425</v>
      </c>
      <c r="N15" s="34">
        <f t="shared" si="2"/>
        <v>177.4033575867922</v>
      </c>
      <c r="O15" s="34">
        <f t="shared" si="3"/>
        <v>22.794519676853643</v>
      </c>
      <c r="P15" s="30">
        <f t="shared" si="4"/>
        <v>200.86516132621114</v>
      </c>
      <c r="Q15" s="38">
        <v>1225691073605</v>
      </c>
      <c r="R15" s="38">
        <v>1321545244459</v>
      </c>
      <c r="S15" s="30">
        <f t="shared" si="5"/>
        <v>-95854170854</v>
      </c>
      <c r="T15" s="38">
        <v>340873208857</v>
      </c>
      <c r="U15" s="38">
        <v>1426730296840</v>
      </c>
      <c r="V15" s="32">
        <f t="shared" si="6"/>
        <v>0.23891916335693197</v>
      </c>
      <c r="W15" s="1"/>
      <c r="X15" s="1"/>
      <c r="Y15" s="1"/>
      <c r="Z15" s="1"/>
    </row>
    <row r="16" spans="1:26" ht="15.75" customHeight="1">
      <c r="A16" s="1"/>
      <c r="B16" s="36" t="s">
        <v>27</v>
      </c>
      <c r="C16" s="38">
        <v>1261014750</v>
      </c>
      <c r="D16" s="38">
        <v>1449989887</v>
      </c>
      <c r="E16" s="38">
        <v>5186685608</v>
      </c>
      <c r="F16" s="30">
        <f t="shared" si="7"/>
        <v>-3.6434661994650827E-2</v>
      </c>
      <c r="G16" s="38">
        <v>514568482</v>
      </c>
      <c r="H16" s="38">
        <v>5144921876</v>
      </c>
      <c r="I16" s="6">
        <v>360</v>
      </c>
      <c r="J16" s="34">
        <f t="shared" si="1"/>
        <v>36.005338464735125</v>
      </c>
      <c r="K16" s="6">
        <f>355880355+387745698</f>
        <v>743626053</v>
      </c>
      <c r="L16" s="6">
        <f>18852361+574786480</f>
        <v>593638841</v>
      </c>
      <c r="M16" s="38">
        <v>6277135709</v>
      </c>
      <c r="N16" s="34">
        <f t="shared" si="2"/>
        <v>34.045780220043355</v>
      </c>
      <c r="O16" s="34">
        <f t="shared" si="3"/>
        <v>3.405082889218459</v>
      </c>
      <c r="P16" s="30">
        <f t="shared" si="4"/>
        <v>66.646035795560024</v>
      </c>
      <c r="Q16" s="38">
        <v>3893303720</v>
      </c>
      <c r="R16" s="38">
        <v>6042932759</v>
      </c>
      <c r="S16" s="30">
        <f t="shared" si="5"/>
        <v>-2149629039</v>
      </c>
      <c r="T16" s="38">
        <v>3432390525</v>
      </c>
      <c r="U16" s="38">
        <v>1754295083</v>
      </c>
      <c r="V16" s="32">
        <f t="shared" si="6"/>
        <v>1.9565639545260014</v>
      </c>
      <c r="W16" s="1"/>
      <c r="X16" s="1"/>
      <c r="Y16" s="1"/>
      <c r="Z16" s="1"/>
    </row>
    <row r="17" spans="1:26" ht="15.75" customHeight="1">
      <c r="A17" s="1"/>
      <c r="B17" s="36" t="s">
        <v>28</v>
      </c>
      <c r="C17" s="38">
        <v>1316631634008</v>
      </c>
      <c r="D17" s="38">
        <v>573582902438</v>
      </c>
      <c r="E17" s="38">
        <v>2826490815501</v>
      </c>
      <c r="F17" s="30">
        <f t="shared" si="7"/>
        <v>0.26288736814391289</v>
      </c>
      <c r="G17" s="38">
        <v>622391538244</v>
      </c>
      <c r="H17" s="38">
        <v>1627586529130</v>
      </c>
      <c r="I17" s="6">
        <v>360</v>
      </c>
      <c r="J17" s="34">
        <f t="shared" si="1"/>
        <v>137.6645417971161</v>
      </c>
      <c r="K17" s="6">
        <f>10963694121+151987486623</f>
        <v>162951180744</v>
      </c>
      <c r="L17" s="6">
        <f>479171394626+42116977934</f>
        <v>521288372560</v>
      </c>
      <c r="M17" s="38">
        <v>2171861931164</v>
      </c>
      <c r="N17" s="34">
        <f t="shared" si="2"/>
        <v>86.406880395487391</v>
      </c>
      <c r="O17" s="34">
        <f t="shared" si="3"/>
        <v>33.042121104897184</v>
      </c>
      <c r="P17" s="30">
        <f t="shared" si="4"/>
        <v>191.02930108770633</v>
      </c>
      <c r="Q17" s="38">
        <v>806391112949</v>
      </c>
      <c r="R17" s="38">
        <v>881751585677</v>
      </c>
      <c r="S17" s="30">
        <f t="shared" si="5"/>
        <v>-75360472728</v>
      </c>
      <c r="T17" s="38">
        <v>1132699218954</v>
      </c>
      <c r="U17" s="38">
        <v>1693791596547</v>
      </c>
      <c r="V17" s="32">
        <f t="shared" si="6"/>
        <v>0.66873588301131315</v>
      </c>
      <c r="W17" s="1"/>
      <c r="X17" s="1"/>
      <c r="Y17" s="1"/>
      <c r="Z17" s="1"/>
    </row>
    <row r="18" spans="1:26" ht="15.75" customHeight="1">
      <c r="A18" s="1"/>
      <c r="B18" s="9" t="s">
        <v>29</v>
      </c>
      <c r="C18" s="6"/>
      <c r="D18" s="6"/>
      <c r="E18" s="6"/>
      <c r="F18" s="30"/>
      <c r="G18" s="6"/>
      <c r="H18" s="6"/>
      <c r="I18" s="6"/>
      <c r="J18" s="34" t="e">
        <f t="shared" si="1"/>
        <v>#DIV/0!</v>
      </c>
      <c r="K18" s="6"/>
      <c r="L18" s="6"/>
      <c r="M18" s="6"/>
      <c r="N18" s="34" t="e">
        <f t="shared" si="2"/>
        <v>#DIV/0!</v>
      </c>
      <c r="O18" s="34" t="e">
        <f t="shared" si="3"/>
        <v>#DIV/0!</v>
      </c>
      <c r="P18" s="30" t="e">
        <f t="shared" si="4"/>
        <v>#DIV/0!</v>
      </c>
      <c r="Q18" s="6"/>
      <c r="R18" s="6"/>
      <c r="S18" s="30">
        <f t="shared" si="5"/>
        <v>0</v>
      </c>
      <c r="T18" s="6"/>
      <c r="U18" s="6"/>
      <c r="V18" s="32" t="e">
        <f t="shared" si="6"/>
        <v>#DIV/0!</v>
      </c>
      <c r="W18" s="1"/>
      <c r="X18" s="1"/>
      <c r="Y18" s="1"/>
      <c r="Z18" s="1"/>
    </row>
    <row r="19" spans="1:26" ht="15.75" customHeight="1">
      <c r="A19" s="1"/>
      <c r="B19" s="36" t="s">
        <v>30</v>
      </c>
      <c r="C19" s="38">
        <v>277157394</v>
      </c>
      <c r="D19" s="38">
        <v>213515571</v>
      </c>
      <c r="E19" s="38">
        <v>305208703</v>
      </c>
      <c r="F19" s="30">
        <f t="shared" ref="F19:F96" si="8">(C19-D19)/E19</f>
        <v>0.2085190309923764</v>
      </c>
      <c r="G19" s="38">
        <v>37760806</v>
      </c>
      <c r="H19" s="38">
        <v>1888767962</v>
      </c>
      <c r="I19" s="6">
        <v>360</v>
      </c>
      <c r="J19" s="34">
        <f t="shared" si="1"/>
        <v>7.1972261460881342</v>
      </c>
      <c r="K19" s="38">
        <v>153314921</v>
      </c>
      <c r="L19" s="38">
        <v>154582741</v>
      </c>
      <c r="M19" s="38">
        <v>1932783905</v>
      </c>
      <c r="N19" s="34">
        <f t="shared" si="2"/>
        <v>28.792554933863649</v>
      </c>
      <c r="O19" s="34">
        <f t="shared" si="3"/>
        <v>0.57562924772967328</v>
      </c>
      <c r="P19" s="30">
        <f t="shared" si="4"/>
        <v>35.41415183222211</v>
      </c>
      <c r="Q19" s="38">
        <v>22603493</v>
      </c>
      <c r="R19" s="38">
        <v>24056278</v>
      </c>
      <c r="S19" s="30">
        <f t="shared" si="5"/>
        <v>-1452785</v>
      </c>
      <c r="T19" s="38">
        <v>226717826</v>
      </c>
      <c r="U19" s="38">
        <v>78490877</v>
      </c>
      <c r="V19" s="32">
        <f t="shared" si="6"/>
        <v>2.888460858960717</v>
      </c>
      <c r="W19" s="1"/>
      <c r="X19" s="1"/>
      <c r="Y19" s="1"/>
      <c r="Z19" s="1"/>
    </row>
    <row r="20" spans="1:26" ht="15.75" customHeight="1">
      <c r="A20" s="1"/>
      <c r="B20" s="36" t="s">
        <v>31</v>
      </c>
      <c r="C20" s="38">
        <v>1701281476100</v>
      </c>
      <c r="D20" s="38">
        <v>1747767173359</v>
      </c>
      <c r="E20" s="38">
        <v>2376281796928</v>
      </c>
      <c r="F20" s="30">
        <f t="shared" si="8"/>
        <v>-1.9562367274409791E-2</v>
      </c>
      <c r="G20" s="38">
        <v>991753212184</v>
      </c>
      <c r="H20" s="38">
        <v>3351275672816</v>
      </c>
      <c r="I20" s="6">
        <v>360</v>
      </c>
      <c r="J20" s="34">
        <f t="shared" si="1"/>
        <v>106.5358959521927</v>
      </c>
      <c r="K20" s="6">
        <f>973721525021+15437472100</f>
        <v>989158997121</v>
      </c>
      <c r="L20" s="6">
        <f>222376266269+50265172624</f>
        <v>272641438893</v>
      </c>
      <c r="M20" s="38">
        <v>3484905171484</v>
      </c>
      <c r="N20" s="34">
        <f t="shared" si="2"/>
        <v>28.16458789312874</v>
      </c>
      <c r="O20" s="34">
        <f t="shared" si="3"/>
        <v>8.3348322369965278</v>
      </c>
      <c r="P20" s="30">
        <f t="shared" si="4"/>
        <v>126.36565160832492</v>
      </c>
      <c r="Q20" s="38">
        <v>644735905720</v>
      </c>
      <c r="R20" s="38">
        <v>701939227149</v>
      </c>
      <c r="S20" s="30">
        <f t="shared" si="5"/>
        <v>-57203321429</v>
      </c>
      <c r="T20" s="38">
        <v>1997411244539</v>
      </c>
      <c r="U20" s="38">
        <v>378870552389</v>
      </c>
      <c r="V20" s="32">
        <f t="shared" si="6"/>
        <v>5.272015024509443</v>
      </c>
      <c r="W20" s="1"/>
      <c r="X20" s="1"/>
      <c r="Y20" s="1"/>
      <c r="Z20" s="1"/>
    </row>
    <row r="21" spans="1:26" ht="15.75" customHeight="1">
      <c r="A21" s="1"/>
      <c r="B21" s="36" t="s">
        <v>32</v>
      </c>
      <c r="C21" s="38">
        <v>138161399969</v>
      </c>
      <c r="D21" s="38">
        <v>25235541036</v>
      </c>
      <c r="E21" s="38">
        <v>183501650442</v>
      </c>
      <c r="F21" s="30">
        <f t="shared" si="8"/>
        <v>0.61539424120162267</v>
      </c>
      <c r="G21" s="38">
        <v>9266415834</v>
      </c>
      <c r="H21" s="38">
        <v>68011442761</v>
      </c>
      <c r="I21" s="6">
        <v>360</v>
      </c>
      <c r="J21" s="34">
        <f t="shared" si="1"/>
        <v>49.049241786603012</v>
      </c>
      <c r="K21" s="38">
        <f>23305522517+316121966</f>
        <v>23621644483</v>
      </c>
      <c r="L21" s="38">
        <v>11126739229</v>
      </c>
      <c r="M21" s="38">
        <v>88010862980</v>
      </c>
      <c r="N21" s="34">
        <f t="shared" si="2"/>
        <v>45.512860422130586</v>
      </c>
      <c r="O21" s="34">
        <f t="shared" si="3"/>
        <v>6.2010313756805502</v>
      </c>
      <c r="P21" s="30">
        <f t="shared" si="4"/>
        <v>88.361070833053049</v>
      </c>
      <c r="Q21" s="38">
        <v>11007927237</v>
      </c>
      <c r="R21" s="38">
        <v>11883973967</v>
      </c>
      <c r="S21" s="30">
        <f t="shared" si="5"/>
        <v>-876046730</v>
      </c>
      <c r="T21" s="38">
        <v>28862718117</v>
      </c>
      <c r="U21" s="38">
        <v>154638932325</v>
      </c>
      <c r="V21" s="32">
        <f t="shared" si="6"/>
        <v>0.18664587037072974</v>
      </c>
      <c r="W21" s="1"/>
      <c r="X21" s="1"/>
      <c r="Y21" s="1"/>
      <c r="Z21" s="1"/>
    </row>
    <row r="22" spans="1:26" ht="15.75" customHeight="1">
      <c r="A22" s="1"/>
      <c r="B22" s="36" t="s">
        <v>33</v>
      </c>
      <c r="C22" s="38">
        <v>82859435</v>
      </c>
      <c r="D22" s="38">
        <v>33583628</v>
      </c>
      <c r="E22" s="38">
        <v>149450952</v>
      </c>
      <c r="F22" s="30">
        <f t="shared" si="8"/>
        <v>0.32971223227805202</v>
      </c>
      <c r="G22" s="38">
        <v>28420892</v>
      </c>
      <c r="H22" s="38">
        <v>47040400</v>
      </c>
      <c r="I22" s="6">
        <v>360</v>
      </c>
      <c r="J22" s="34">
        <f t="shared" si="1"/>
        <v>217.5049769984949</v>
      </c>
      <c r="K22" s="6">
        <f>1153397+20401398</f>
        <v>21554795</v>
      </c>
      <c r="L22" s="6">
        <f>3673374+2868080</f>
        <v>6541454</v>
      </c>
      <c r="M22" s="38">
        <v>49681160</v>
      </c>
      <c r="N22" s="34">
        <f t="shared" si="2"/>
        <v>47.400733799291316</v>
      </c>
      <c r="O22" s="34">
        <f t="shared" si="3"/>
        <v>28.638598652018437</v>
      </c>
      <c r="P22" s="30">
        <f t="shared" si="4"/>
        <v>236.26711214576781</v>
      </c>
      <c r="Q22" s="38">
        <v>48747503</v>
      </c>
      <c r="R22" s="38">
        <v>57203487</v>
      </c>
      <c r="S22" s="30">
        <f t="shared" si="5"/>
        <v>-8455984</v>
      </c>
      <c r="T22" s="38">
        <v>44151213</v>
      </c>
      <c r="U22" s="38">
        <v>105299739</v>
      </c>
      <c r="V22" s="32">
        <f t="shared" si="6"/>
        <v>0.4192908113475951</v>
      </c>
      <c r="W22" s="1"/>
      <c r="X22" s="1"/>
      <c r="Y22" s="1"/>
      <c r="Z22" s="1"/>
    </row>
    <row r="23" spans="1:26" ht="15.75" customHeight="1">
      <c r="A23" s="1"/>
      <c r="B23" s="36" t="s">
        <v>34</v>
      </c>
      <c r="C23" s="38">
        <v>452019244440</v>
      </c>
      <c r="D23" s="38">
        <v>392632933617</v>
      </c>
      <c r="E23" s="38">
        <v>1286954720465</v>
      </c>
      <c r="F23" s="30">
        <f t="shared" si="8"/>
        <v>4.6144833130992095E-2</v>
      </c>
      <c r="G23" s="38">
        <v>159301167748</v>
      </c>
      <c r="H23" s="38">
        <v>1101594363771</v>
      </c>
      <c r="I23" s="6">
        <v>360</v>
      </c>
      <c r="J23" s="34">
        <f t="shared" si="1"/>
        <v>52.059471503615661</v>
      </c>
      <c r="K23" s="6">
        <f>190292487968+143105558560</f>
        <v>333398046528</v>
      </c>
      <c r="L23" s="6">
        <f>65593139225+23305522517</f>
        <v>88898661742</v>
      </c>
      <c r="M23" s="38">
        <v>1228528694746</v>
      </c>
      <c r="N23" s="34">
        <f t="shared" si="2"/>
        <v>26.050281417103385</v>
      </c>
      <c r="O23" s="34">
        <f t="shared" si="3"/>
        <v>3.7671218974857288</v>
      </c>
      <c r="P23" s="30">
        <f t="shared" si="4"/>
        <v>74.342631023233324</v>
      </c>
      <c r="Q23" s="38">
        <v>803665227329</v>
      </c>
      <c r="R23" s="38">
        <v>753802085246</v>
      </c>
      <c r="S23" s="30">
        <f t="shared" si="5"/>
        <v>49863142083</v>
      </c>
      <c r="T23" s="38">
        <v>441675308289</v>
      </c>
      <c r="U23" s="38">
        <v>845279412176</v>
      </c>
      <c r="V23" s="32">
        <f t="shared" si="6"/>
        <v>0.5225198933356211</v>
      </c>
      <c r="W23" s="1"/>
      <c r="X23" s="1"/>
      <c r="Y23" s="1"/>
      <c r="Z23" s="1"/>
    </row>
    <row r="24" spans="1:26" ht="15.75" customHeight="1">
      <c r="A24" s="1"/>
      <c r="B24" s="36" t="s">
        <v>35</v>
      </c>
      <c r="C24" s="38">
        <v>860749289575</v>
      </c>
      <c r="D24" s="38">
        <v>867251288494</v>
      </c>
      <c r="E24" s="38">
        <v>1213916545120</v>
      </c>
      <c r="F24" s="30">
        <f t="shared" si="8"/>
        <v>-5.3562157506941745E-3</v>
      </c>
      <c r="G24" s="38">
        <v>210332360094</v>
      </c>
      <c r="H24" s="38">
        <v>795476989375</v>
      </c>
      <c r="I24" s="6">
        <v>360</v>
      </c>
      <c r="J24" s="34">
        <f t="shared" si="1"/>
        <v>95.187730940315859</v>
      </c>
      <c r="K24" s="6">
        <f>128729478902+5222478221</f>
        <v>133951957123</v>
      </c>
      <c r="L24" s="6">
        <f>417190117226+2254074053</f>
        <v>419444191279</v>
      </c>
      <c r="M24" s="38">
        <v>980285748450</v>
      </c>
      <c r="N24" s="34">
        <f t="shared" si="2"/>
        <v>154.03662564634521</v>
      </c>
      <c r="O24" s="34">
        <f t="shared" si="3"/>
        <v>40.728880213829072</v>
      </c>
      <c r="P24" s="30">
        <f t="shared" si="4"/>
        <v>208.495476372832</v>
      </c>
      <c r="Q24" s="38">
        <v>226998517718</v>
      </c>
      <c r="R24" s="38">
        <v>240067780723</v>
      </c>
      <c r="S24" s="30">
        <f t="shared" si="5"/>
        <v>-13069263005</v>
      </c>
      <c r="T24" s="38">
        <v>936511874370</v>
      </c>
      <c r="U24" s="38">
        <v>277404670750</v>
      </c>
      <c r="V24" s="32">
        <f t="shared" si="6"/>
        <v>3.3759773108290392</v>
      </c>
      <c r="W24" s="1"/>
      <c r="X24" s="1"/>
      <c r="Y24" s="1"/>
      <c r="Z24" s="1"/>
    </row>
    <row r="25" spans="1:26" ht="15.75" customHeight="1">
      <c r="A25" s="1"/>
      <c r="B25" s="36" t="s">
        <v>36</v>
      </c>
      <c r="C25" s="38">
        <v>100362768229</v>
      </c>
      <c r="D25" s="38">
        <v>33751514236</v>
      </c>
      <c r="E25" s="38">
        <v>252294581992</v>
      </c>
      <c r="F25" s="30">
        <f t="shared" si="8"/>
        <v>0.26402173787113736</v>
      </c>
      <c r="G25" s="38">
        <v>14302051053</v>
      </c>
      <c r="H25" s="38">
        <v>11689712569</v>
      </c>
      <c r="I25" s="6">
        <v>360</v>
      </c>
      <c r="J25" s="34">
        <f t="shared" si="1"/>
        <v>440.45038307733603</v>
      </c>
      <c r="K25" s="6">
        <f>1096870267+22034437241</f>
        <v>23131307508</v>
      </c>
      <c r="L25" s="6">
        <f>307096480+70455759738</f>
        <v>70762856218</v>
      </c>
      <c r="M25" s="38">
        <v>11819781048</v>
      </c>
      <c r="N25" s="34">
        <f t="shared" si="2"/>
        <v>2155.2538185798717</v>
      </c>
      <c r="O25" s="34">
        <f t="shared" si="3"/>
        <v>2636.8954722844323</v>
      </c>
      <c r="P25" s="30">
        <f t="shared" si="4"/>
        <v>-41.19127062722464</v>
      </c>
      <c r="Q25" s="38">
        <v>44776691643</v>
      </c>
      <c r="R25" s="38">
        <v>45206083161</v>
      </c>
      <c r="S25" s="30">
        <f t="shared" si="5"/>
        <v>-429391518</v>
      </c>
      <c r="T25" s="38">
        <v>698066277185</v>
      </c>
      <c r="U25" s="38">
        <v>445771695193</v>
      </c>
      <c r="V25" s="32">
        <f t="shared" si="6"/>
        <v>1.5659726373671332</v>
      </c>
      <c r="W25" s="1"/>
      <c r="X25" s="1"/>
      <c r="Y25" s="1"/>
      <c r="Z25" s="1"/>
    </row>
    <row r="26" spans="1:26" ht="15.75" customHeight="1">
      <c r="A26" s="1"/>
      <c r="B26" s="36" t="s">
        <v>37</v>
      </c>
      <c r="C26" s="38">
        <v>21511859195</v>
      </c>
      <c r="D26" s="38">
        <v>39407080157</v>
      </c>
      <c r="E26" s="38">
        <v>357404148034</v>
      </c>
      <c r="F26" s="30">
        <f t="shared" si="8"/>
        <v>-5.0069986765507883E-2</v>
      </c>
      <c r="G26" s="38">
        <v>46781300143</v>
      </c>
      <c r="H26" s="38">
        <v>238016115882</v>
      </c>
      <c r="I26" s="6">
        <v>360</v>
      </c>
      <c r="J26" s="34">
        <f t="shared" si="1"/>
        <v>70.756839254654949</v>
      </c>
      <c r="K26" s="38">
        <v>35951828633</v>
      </c>
      <c r="L26" s="38">
        <f>9457479358+143106680014</f>
        <v>152564159372</v>
      </c>
      <c r="M26" s="38">
        <v>244324396080</v>
      </c>
      <c r="N26" s="34">
        <f t="shared" si="2"/>
        <v>224.79579712513171</v>
      </c>
      <c r="O26" s="34">
        <f t="shared" si="3"/>
        <v>44.182889117513803</v>
      </c>
      <c r="P26" s="30">
        <f t="shared" si="4"/>
        <v>251.36974726227288</v>
      </c>
      <c r="Q26" s="38">
        <v>10365541482</v>
      </c>
      <c r="R26" s="38">
        <v>11249057076</v>
      </c>
      <c r="S26" s="30">
        <f t="shared" si="5"/>
        <v>-883515594</v>
      </c>
      <c r="T26" s="38">
        <v>66219547909</v>
      </c>
      <c r="U26" s="38">
        <v>291184600125</v>
      </c>
      <c r="V26" s="32">
        <f t="shared" si="6"/>
        <v>0.22741432026478464</v>
      </c>
      <c r="W26" s="1"/>
      <c r="X26" s="1"/>
      <c r="Y26" s="1"/>
      <c r="Z26" s="1"/>
    </row>
    <row r="27" spans="1:26" ht="15.75" customHeight="1">
      <c r="A27" s="1"/>
      <c r="B27" s="36" t="s">
        <v>38</v>
      </c>
      <c r="C27" s="38">
        <v>1021697</v>
      </c>
      <c r="D27" s="38">
        <v>1361905</v>
      </c>
      <c r="E27" s="38">
        <v>4114386</v>
      </c>
      <c r="F27" s="30">
        <f t="shared" si="8"/>
        <v>-8.2687428938364074E-2</v>
      </c>
      <c r="G27" s="38">
        <v>488502</v>
      </c>
      <c r="H27" s="38">
        <v>1229897</v>
      </c>
      <c r="I27" s="6">
        <v>360</v>
      </c>
      <c r="J27" s="34">
        <f t="shared" si="1"/>
        <v>142.98816892796714</v>
      </c>
      <c r="K27" s="6">
        <f>148824+102191</f>
        <v>251015</v>
      </c>
      <c r="L27" s="6">
        <f>147976+56714</f>
        <v>204690</v>
      </c>
      <c r="M27" s="38">
        <v>1449020</v>
      </c>
      <c r="N27" s="34">
        <f t="shared" si="2"/>
        <v>50.853956467129507</v>
      </c>
      <c r="O27" s="34">
        <f t="shared" si="3"/>
        <v>20.198650327715001</v>
      </c>
      <c r="P27" s="30">
        <f t="shared" si="4"/>
        <v>173.64347506738164</v>
      </c>
      <c r="Q27" s="38">
        <v>2624457</v>
      </c>
      <c r="R27" s="38">
        <v>2454393</v>
      </c>
      <c r="S27" s="30">
        <f t="shared" si="5"/>
        <v>170064</v>
      </c>
      <c r="T27" s="38">
        <v>2261577</v>
      </c>
      <c r="U27" s="38">
        <v>1852809</v>
      </c>
      <c r="V27" s="32">
        <f t="shared" si="6"/>
        <v>1.2206206899901717</v>
      </c>
      <c r="W27" s="1"/>
      <c r="X27" s="1"/>
      <c r="Y27" s="1"/>
      <c r="Z27" s="1"/>
    </row>
    <row r="28" spans="1:26" ht="15.75" customHeight="1">
      <c r="A28" s="1"/>
      <c r="B28" s="36" t="s">
        <v>39</v>
      </c>
      <c r="C28" s="38">
        <v>503156333673</v>
      </c>
      <c r="D28" s="38">
        <v>153806819548</v>
      </c>
      <c r="E28" s="38">
        <v>681937947736</v>
      </c>
      <c r="F28" s="30">
        <f t="shared" si="8"/>
        <v>0.51228930034590825</v>
      </c>
      <c r="G28" s="38">
        <v>168528042587</v>
      </c>
      <c r="H28" s="38">
        <v>226264507840</v>
      </c>
      <c r="I28" s="6">
        <v>360</v>
      </c>
      <c r="J28" s="34">
        <f t="shared" si="1"/>
        <v>268.13792366508522</v>
      </c>
      <c r="K28" s="38">
        <v>3002774858</v>
      </c>
      <c r="L28" s="6">
        <f>18712025348+90480093427</f>
        <v>109192118775</v>
      </c>
      <c r="M28" s="38">
        <v>349690796141</v>
      </c>
      <c r="N28" s="34">
        <f t="shared" si="2"/>
        <v>112.41120210424417</v>
      </c>
      <c r="O28" s="34">
        <f t="shared" si="3"/>
        <v>83.726962024800812</v>
      </c>
      <c r="P28" s="30">
        <f t="shared" si="4"/>
        <v>296.82216374452861</v>
      </c>
      <c r="Q28" s="38">
        <v>97577993791</v>
      </c>
      <c r="R28" s="38">
        <v>120394121583</v>
      </c>
      <c r="S28" s="30">
        <f t="shared" si="5"/>
        <v>-22816127792</v>
      </c>
      <c r="T28" s="38">
        <v>75824040171</v>
      </c>
      <c r="U28" s="38">
        <v>452307088017</v>
      </c>
      <c r="V28" s="32">
        <f t="shared" si="6"/>
        <v>0.16763840801926622</v>
      </c>
      <c r="W28" s="1"/>
      <c r="X28" s="1"/>
      <c r="Y28" s="1"/>
      <c r="Z28" s="1"/>
    </row>
    <row r="29" spans="1:26" ht="15.75" customHeight="1">
      <c r="A29" s="1"/>
      <c r="B29" s="36" t="s">
        <v>40</v>
      </c>
      <c r="C29" s="38">
        <v>89570023525</v>
      </c>
      <c r="D29" s="38">
        <v>20918453456</v>
      </c>
      <c r="E29" s="38">
        <v>161163426840</v>
      </c>
      <c r="F29" s="30">
        <f t="shared" si="8"/>
        <v>0.42597487168820242</v>
      </c>
      <c r="G29" s="38">
        <v>35272492728</v>
      </c>
      <c r="H29" s="38">
        <v>196416750209</v>
      </c>
      <c r="I29" s="6">
        <v>360</v>
      </c>
      <c r="J29" s="34">
        <f t="shared" si="1"/>
        <v>64.648750010212524</v>
      </c>
      <c r="K29" s="38">
        <v>4866035778</v>
      </c>
      <c r="L29" s="38">
        <v>17642819503</v>
      </c>
      <c r="M29" s="38">
        <v>224371164551</v>
      </c>
      <c r="N29" s="34">
        <f t="shared" si="2"/>
        <v>28.307626043614491</v>
      </c>
      <c r="O29" s="34">
        <f t="shared" si="3"/>
        <v>5.0834795541005962</v>
      </c>
      <c r="P29" s="30">
        <f t="shared" si="4"/>
        <v>87.872896499726423</v>
      </c>
      <c r="Q29" s="38">
        <v>55856775347</v>
      </c>
      <c r="R29" s="38">
        <v>61896024068</v>
      </c>
      <c r="S29" s="30">
        <f t="shared" si="5"/>
        <v>-6039248721</v>
      </c>
      <c r="T29" s="38">
        <v>31541423763</v>
      </c>
      <c r="U29" s="38">
        <v>129622003077</v>
      </c>
      <c r="V29" s="32">
        <f t="shared" si="6"/>
        <v>0.24333387090356329</v>
      </c>
      <c r="W29" s="1"/>
      <c r="X29" s="1"/>
      <c r="Y29" s="1"/>
      <c r="Z29" s="1"/>
    </row>
    <row r="30" spans="1:26" ht="15.75" customHeight="1">
      <c r="A30" s="1"/>
      <c r="B30" s="36" t="s">
        <v>41</v>
      </c>
      <c r="C30" s="38">
        <v>48749123444</v>
      </c>
      <c r="D30" s="38">
        <v>323802228719</v>
      </c>
      <c r="E30" s="38">
        <v>720238957745</v>
      </c>
      <c r="F30" s="30">
        <f t="shared" si="8"/>
        <v>-0.38189145743541175</v>
      </c>
      <c r="G30" s="38">
        <v>253142248890</v>
      </c>
      <c r="H30" s="38">
        <v>653313019753</v>
      </c>
      <c r="I30" s="6">
        <v>360</v>
      </c>
      <c r="J30" s="34">
        <f t="shared" si="1"/>
        <v>139.49088238721194</v>
      </c>
      <c r="K30" s="38">
        <v>48573220882</v>
      </c>
      <c r="L30" s="6">
        <f>56006311690+112414549525</f>
        <v>168420861215</v>
      </c>
      <c r="M30" s="38">
        <v>747064722530</v>
      </c>
      <c r="N30" s="34">
        <f t="shared" si="2"/>
        <v>81.159648165511129</v>
      </c>
      <c r="O30" s="34">
        <f t="shared" si="3"/>
        <v>31.447308157896707</v>
      </c>
      <c r="P30" s="30">
        <f t="shared" si="4"/>
        <v>189.20322239482635</v>
      </c>
      <c r="Q30" s="38">
        <v>123229054748</v>
      </c>
      <c r="R30" s="38">
        <v>129057769907</v>
      </c>
      <c r="S30" s="30">
        <f t="shared" si="5"/>
        <v>-5828715159</v>
      </c>
      <c r="T30" s="38">
        <v>440555207507</v>
      </c>
      <c r="U30" s="38">
        <v>279683750237</v>
      </c>
      <c r="V30" s="32">
        <f t="shared" si="6"/>
        <v>1.5751905755471307</v>
      </c>
      <c r="W30" s="1"/>
      <c r="X30" s="1"/>
      <c r="Y30" s="1"/>
      <c r="Z30" s="1"/>
    </row>
    <row r="31" spans="1:26" ht="15.75" customHeight="1">
      <c r="A31" s="1"/>
      <c r="B31" s="36" t="s">
        <v>42</v>
      </c>
      <c r="C31" s="38">
        <v>94640013</v>
      </c>
      <c r="D31" s="38">
        <v>80018386</v>
      </c>
      <c r="E31" s="38">
        <v>126122841</v>
      </c>
      <c r="F31" s="30">
        <f t="shared" si="8"/>
        <v>0.11593163366816325</v>
      </c>
      <c r="G31" s="38">
        <v>30047808</v>
      </c>
      <c r="H31" s="38">
        <v>141573455</v>
      </c>
      <c r="I31" s="6">
        <v>360</v>
      </c>
      <c r="J31" s="34">
        <f t="shared" si="1"/>
        <v>76.407055828368385</v>
      </c>
      <c r="K31" s="6">
        <f>19194298+5065172</f>
        <v>24259470</v>
      </c>
      <c r="L31" s="38">
        <v>49639230</v>
      </c>
      <c r="M31" s="38">
        <v>151792945</v>
      </c>
      <c r="N31" s="34">
        <f t="shared" si="2"/>
        <v>117.7269655055444</v>
      </c>
      <c r="O31" s="34">
        <f t="shared" si="3"/>
        <v>24.986585627462585</v>
      </c>
      <c r="P31" s="30">
        <f t="shared" si="4"/>
        <v>169.14743570645021</v>
      </c>
      <c r="Q31" s="38">
        <v>25517665</v>
      </c>
      <c r="R31" s="38">
        <v>25962279</v>
      </c>
      <c r="S31" s="30">
        <f t="shared" si="5"/>
        <v>-444614</v>
      </c>
      <c r="T31" s="38">
        <v>84476044</v>
      </c>
      <c r="U31" s="38">
        <v>41646797</v>
      </c>
      <c r="V31" s="32">
        <f t="shared" si="6"/>
        <v>2.0283923395117278</v>
      </c>
      <c r="W31" s="1"/>
      <c r="X31" s="1"/>
      <c r="Y31" s="1"/>
      <c r="Z31" s="1"/>
    </row>
    <row r="32" spans="1:26" ht="15.75" customHeight="1">
      <c r="A32" s="1"/>
      <c r="B32" s="36" t="s">
        <v>43</v>
      </c>
      <c r="C32" s="38">
        <v>727240100955</v>
      </c>
      <c r="D32" s="38">
        <v>760156840021</v>
      </c>
      <c r="E32" s="38">
        <v>946448936464</v>
      </c>
      <c r="F32" s="30">
        <f t="shared" si="8"/>
        <v>-3.4779202340254362E-2</v>
      </c>
      <c r="G32" s="38">
        <v>481054955518</v>
      </c>
      <c r="H32" s="38">
        <v>1209851123279</v>
      </c>
      <c r="I32" s="6">
        <v>360</v>
      </c>
      <c r="J32" s="34">
        <f t="shared" si="1"/>
        <v>143.14140033785259</v>
      </c>
      <c r="K32" s="6">
        <f>114226361+161933390921</f>
        <v>162047617282</v>
      </c>
      <c r="L32" s="6">
        <f>11188085320+161573295798</f>
        <v>172761381118</v>
      </c>
      <c r="M32" s="38">
        <v>1218317826843</v>
      </c>
      <c r="N32" s="34">
        <f t="shared" si="2"/>
        <v>51.04915633028385</v>
      </c>
      <c r="O32" s="34">
        <f t="shared" si="3"/>
        <v>20.297910342174397</v>
      </c>
      <c r="P32" s="30">
        <f t="shared" si="4"/>
        <v>173.89264632596203</v>
      </c>
      <c r="Q32" s="38">
        <v>200831592410</v>
      </c>
      <c r="R32" s="38">
        <v>220563758390</v>
      </c>
      <c r="S32" s="30">
        <f t="shared" si="5"/>
        <v>-19732165980</v>
      </c>
      <c r="T32" s="38">
        <v>774432726191</v>
      </c>
      <c r="U32" s="38">
        <v>172016210273</v>
      </c>
      <c r="V32" s="32">
        <f t="shared" si="6"/>
        <v>4.5020915468485736</v>
      </c>
      <c r="W32" s="1"/>
      <c r="X32" s="1"/>
      <c r="Y32" s="1"/>
      <c r="Z32" s="1"/>
    </row>
    <row r="33" spans="1:26" ht="15.75" customHeight="1">
      <c r="A33" s="1"/>
      <c r="B33" s="36" t="s">
        <v>44</v>
      </c>
      <c r="C33" s="38">
        <v>3431703</v>
      </c>
      <c r="D33" s="38">
        <v>2279714</v>
      </c>
      <c r="E33" s="38">
        <v>6269365</v>
      </c>
      <c r="F33" s="30">
        <f t="shared" si="8"/>
        <v>0.18374891236991306</v>
      </c>
      <c r="G33" s="38">
        <v>2414970</v>
      </c>
      <c r="H33" s="38">
        <v>3100253</v>
      </c>
      <c r="I33" s="6">
        <v>360</v>
      </c>
      <c r="J33" s="34">
        <f t="shared" si="1"/>
        <v>280.42524271406234</v>
      </c>
      <c r="K33" s="6">
        <f>453258+913</f>
        <v>454171</v>
      </c>
      <c r="L33" s="6">
        <f>658243+30601</f>
        <v>688844</v>
      </c>
      <c r="M33" s="38">
        <v>3662810</v>
      </c>
      <c r="N33" s="34">
        <f t="shared" si="2"/>
        <v>67.703167786480861</v>
      </c>
      <c r="O33" s="34">
        <f t="shared" si="3"/>
        <v>52.737992386207722</v>
      </c>
      <c r="P33" s="30">
        <f t="shared" si="4"/>
        <v>295.39041811433543</v>
      </c>
      <c r="Q33" s="38">
        <v>2199589</v>
      </c>
      <c r="R33" s="38">
        <v>1984343</v>
      </c>
      <c r="S33" s="30">
        <f t="shared" si="5"/>
        <v>215246</v>
      </c>
      <c r="T33" s="38">
        <v>3428424</v>
      </c>
      <c r="U33" s="38">
        <v>2840941</v>
      </c>
      <c r="V33" s="32">
        <f t="shared" si="6"/>
        <v>1.2067916933157006</v>
      </c>
      <c r="W33" s="1"/>
      <c r="X33" s="1"/>
      <c r="Y33" s="1"/>
      <c r="Z33" s="1"/>
    </row>
    <row r="34" spans="1:26" ht="15.75" customHeight="1">
      <c r="A34" s="1"/>
      <c r="B34" s="36" t="s">
        <v>45</v>
      </c>
      <c r="C34" s="38">
        <v>133098705</v>
      </c>
      <c r="D34" s="38">
        <v>127980652</v>
      </c>
      <c r="E34" s="38">
        <v>164820670</v>
      </c>
      <c r="F34" s="30">
        <f t="shared" si="8"/>
        <v>3.1052252123474563E-2</v>
      </c>
      <c r="G34" s="38">
        <v>31840775</v>
      </c>
      <c r="H34" s="38">
        <v>597685764</v>
      </c>
      <c r="I34" s="6">
        <v>360</v>
      </c>
      <c r="J34" s="34">
        <f t="shared" si="1"/>
        <v>19.178437383695154</v>
      </c>
      <c r="K34" s="6">
        <f>64733515+8291</f>
        <v>64741806</v>
      </c>
      <c r="L34" s="6">
        <f>32981178+54028390</f>
        <v>87009568</v>
      </c>
      <c r="M34" s="38">
        <v>620635053</v>
      </c>
      <c r="N34" s="34">
        <f t="shared" si="2"/>
        <v>50.4699892933698</v>
      </c>
      <c r="O34" s="34">
        <f t="shared" si="3"/>
        <v>2.6887098039407156</v>
      </c>
      <c r="P34" s="30">
        <f t="shared" si="4"/>
        <v>66.959716873124236</v>
      </c>
      <c r="Q34" s="38">
        <v>10386302</v>
      </c>
      <c r="R34" s="38">
        <v>11835671</v>
      </c>
      <c r="S34" s="30">
        <f t="shared" si="5"/>
        <v>-1449369</v>
      </c>
      <c r="T34" s="38">
        <v>128302927</v>
      </c>
      <c r="U34" s="38">
        <v>36517743</v>
      </c>
      <c r="V34" s="32">
        <f t="shared" si="6"/>
        <v>3.5134407676838078</v>
      </c>
      <c r="W34" s="1"/>
      <c r="X34" s="1"/>
      <c r="Y34" s="1"/>
      <c r="Z34" s="1"/>
    </row>
    <row r="35" spans="1:26" ht="15.75" customHeight="1">
      <c r="A35" s="1"/>
      <c r="B35" s="9" t="s">
        <v>46</v>
      </c>
      <c r="C35" s="6"/>
      <c r="D35" s="6"/>
      <c r="E35" s="6"/>
      <c r="F35" s="30" t="e">
        <f t="shared" si="8"/>
        <v>#DIV/0!</v>
      </c>
      <c r="G35" s="6"/>
      <c r="H35" s="6"/>
      <c r="I35" s="6">
        <v>360</v>
      </c>
      <c r="J35" s="34" t="e">
        <f t="shared" si="1"/>
        <v>#DIV/0!</v>
      </c>
      <c r="K35" s="6"/>
      <c r="L35" s="6"/>
      <c r="M35" s="6"/>
      <c r="N35" s="34" t="e">
        <f t="shared" si="2"/>
        <v>#DIV/0!</v>
      </c>
      <c r="O35" s="34" t="e">
        <f t="shared" si="3"/>
        <v>#DIV/0!</v>
      </c>
      <c r="P35" s="30" t="e">
        <f t="shared" si="4"/>
        <v>#DIV/0!</v>
      </c>
      <c r="Q35" s="6"/>
      <c r="R35" s="6"/>
      <c r="S35" s="30">
        <f t="shared" si="5"/>
        <v>0</v>
      </c>
      <c r="T35" s="6"/>
      <c r="U35" s="6"/>
      <c r="V35" s="32" t="e">
        <f t="shared" si="6"/>
        <v>#DIV/0!</v>
      </c>
      <c r="W35" s="1"/>
      <c r="X35" s="1"/>
      <c r="Y35" s="1"/>
      <c r="Z35" s="1"/>
    </row>
    <row r="36" spans="1:26" ht="15.75" customHeight="1">
      <c r="A36" s="1"/>
      <c r="B36" s="36" t="s">
        <v>47</v>
      </c>
      <c r="C36" s="38">
        <v>1504057</v>
      </c>
      <c r="D36" s="38">
        <v>873123</v>
      </c>
      <c r="E36" s="38">
        <v>3642928</v>
      </c>
      <c r="F36" s="30">
        <f t="shared" si="8"/>
        <v>0.17319419983046605</v>
      </c>
      <c r="G36" s="38">
        <v>241581</v>
      </c>
      <c r="H36" s="38">
        <v>1913202</v>
      </c>
      <c r="I36" s="6">
        <v>360</v>
      </c>
      <c r="J36" s="34">
        <f t="shared" si="1"/>
        <v>45.457385053956664</v>
      </c>
      <c r="K36" s="38">
        <v>482961</v>
      </c>
      <c r="L36" s="38">
        <v>206041</v>
      </c>
      <c r="M36" s="38">
        <v>2452847</v>
      </c>
      <c r="N36" s="34">
        <f t="shared" si="2"/>
        <v>30.240271814752408</v>
      </c>
      <c r="O36" s="34">
        <f t="shared" si="3"/>
        <v>3.8184546667208696</v>
      </c>
      <c r="P36" s="30">
        <f t="shared" si="4"/>
        <v>71.879202201988207</v>
      </c>
      <c r="Q36" s="38">
        <v>1705253</v>
      </c>
      <c r="R36" s="38">
        <v>1584720</v>
      </c>
      <c r="S36" s="30">
        <f t="shared" si="5"/>
        <v>120533</v>
      </c>
      <c r="T36" s="38">
        <v>1626029</v>
      </c>
      <c r="U36" s="38">
        <v>2016899</v>
      </c>
      <c r="V36" s="32">
        <f t="shared" si="6"/>
        <v>0.8062024920434786</v>
      </c>
      <c r="W36" s="1"/>
      <c r="X36" s="1"/>
      <c r="Y36" s="1"/>
      <c r="Z36" s="1"/>
    </row>
    <row r="37" spans="1:26" ht="15.75" customHeight="1">
      <c r="A37" s="1"/>
      <c r="B37" s="36" t="s">
        <v>48</v>
      </c>
      <c r="C37" s="38">
        <v>1125660</v>
      </c>
      <c r="D37" s="38">
        <v>515543</v>
      </c>
      <c r="E37" s="38">
        <v>2614679</v>
      </c>
      <c r="F37" s="30">
        <f t="shared" si="8"/>
        <v>0.23334298397623571</v>
      </c>
      <c r="G37" s="38">
        <v>206249</v>
      </c>
      <c r="H37" s="38">
        <v>1372023</v>
      </c>
      <c r="I37" s="6">
        <v>360</v>
      </c>
      <c r="J37" s="34">
        <f t="shared" si="1"/>
        <v>54.11690620346743</v>
      </c>
      <c r="K37" s="6">
        <f>4527+413243</f>
        <v>417770</v>
      </c>
      <c r="L37" s="6">
        <f>12068+195723</f>
        <v>207791</v>
      </c>
      <c r="M37" s="38">
        <v>1797979</v>
      </c>
      <c r="N37" s="34">
        <f t="shared" si="2"/>
        <v>41.604913071843441</v>
      </c>
      <c r="O37" s="34">
        <f t="shared" si="3"/>
        <v>6.254247717534354</v>
      </c>
      <c r="P37" s="30">
        <f t="shared" si="4"/>
        <v>89.467571557776523</v>
      </c>
      <c r="Q37" s="38">
        <v>1374611</v>
      </c>
      <c r="R37" s="38">
        <v>1316744</v>
      </c>
      <c r="S37" s="30">
        <f t="shared" si="5"/>
        <v>57867</v>
      </c>
      <c r="T37" s="38">
        <v>970431</v>
      </c>
      <c r="U37" s="38">
        <v>1644248</v>
      </c>
      <c r="V37" s="32">
        <f t="shared" si="6"/>
        <v>0.59019746412949869</v>
      </c>
      <c r="W37" s="1"/>
      <c r="X37" s="1"/>
      <c r="Y37" s="1"/>
      <c r="Z37" s="1"/>
    </row>
    <row r="38" spans="1:26" ht="15.75" customHeight="1">
      <c r="A38" s="1"/>
      <c r="B38" s="36" t="s">
        <v>49</v>
      </c>
      <c r="C38" s="38">
        <v>181198774207</v>
      </c>
      <c r="D38" s="38">
        <v>18832789797</v>
      </c>
      <c r="E38" s="38">
        <v>308491173960</v>
      </c>
      <c r="F38" s="30">
        <f t="shared" si="8"/>
        <v>0.52632294897050413</v>
      </c>
      <c r="G38" s="38">
        <v>41165365600</v>
      </c>
      <c r="H38" s="38">
        <v>86428325414</v>
      </c>
      <c r="I38" s="6">
        <v>360</v>
      </c>
      <c r="J38" s="34">
        <f t="shared" si="1"/>
        <v>171.46614313088929</v>
      </c>
      <c r="K38" s="38">
        <v>15521044730</v>
      </c>
      <c r="L38" s="38">
        <v>15854405910</v>
      </c>
      <c r="M38" s="38">
        <v>111294849755</v>
      </c>
      <c r="N38" s="34">
        <f t="shared" si="2"/>
        <v>51.283470350734561</v>
      </c>
      <c r="O38" s="34">
        <f t="shared" si="3"/>
        <v>24.426052409466028</v>
      </c>
      <c r="P38" s="30">
        <f t="shared" si="4"/>
        <v>198.32356107215782</v>
      </c>
      <c r="Q38" s="38">
        <v>11011716195</v>
      </c>
      <c r="R38" s="38">
        <v>11927709719</v>
      </c>
      <c r="S38" s="30">
        <f t="shared" si="5"/>
        <v>-915993524</v>
      </c>
      <c r="T38" s="38">
        <v>40655786593</v>
      </c>
      <c r="U38" s="38">
        <v>267835387367</v>
      </c>
      <c r="V38" s="32">
        <f t="shared" si="6"/>
        <v>0.15179393205906591</v>
      </c>
      <c r="W38" s="1"/>
      <c r="X38" s="1"/>
      <c r="Y38" s="1"/>
      <c r="Z38" s="1"/>
    </row>
    <row r="39" spans="1:26" ht="15.75" customHeight="1">
      <c r="A39" s="1"/>
      <c r="B39" s="36" t="s">
        <v>50</v>
      </c>
      <c r="C39" s="38">
        <v>413617087456</v>
      </c>
      <c r="D39" s="38">
        <v>91524721725</v>
      </c>
      <c r="E39" s="38">
        <v>796767646172</v>
      </c>
      <c r="F39" s="30">
        <f t="shared" si="8"/>
        <v>0.40424880111342926</v>
      </c>
      <c r="G39" s="38">
        <v>171149332500</v>
      </c>
      <c r="H39" s="38">
        <v>450211453881</v>
      </c>
      <c r="I39" s="6">
        <v>360</v>
      </c>
      <c r="J39" s="34">
        <f t="shared" si="1"/>
        <v>136.85515810152125</v>
      </c>
      <c r="K39" s="6">
        <f>46707968385+1255483724</f>
        <v>47963452109</v>
      </c>
      <c r="L39" s="6">
        <f>91329537970+150119668</f>
        <v>91479657638</v>
      </c>
      <c r="M39" s="38">
        <v>643591823505</v>
      </c>
      <c r="N39" s="34">
        <f t="shared" si="2"/>
        <v>51.170129182699519</v>
      </c>
      <c r="O39" s="34">
        <f t="shared" si="3"/>
        <v>19.452489220482249</v>
      </c>
      <c r="P39" s="30">
        <f t="shared" si="4"/>
        <v>168.57279806373853</v>
      </c>
      <c r="Q39" s="38">
        <v>364850961596</v>
      </c>
      <c r="R39" s="38">
        <v>354771515162</v>
      </c>
      <c r="S39" s="30">
        <f t="shared" si="5"/>
        <v>10079446434</v>
      </c>
      <c r="T39" s="38">
        <v>133949920707</v>
      </c>
      <c r="U39" s="38">
        <v>662817725465</v>
      </c>
      <c r="V39" s="32">
        <f t="shared" si="6"/>
        <v>0.20209163931611424</v>
      </c>
      <c r="W39" s="1"/>
      <c r="X39" s="1"/>
      <c r="Y39" s="1"/>
      <c r="Z39" s="1"/>
    </row>
    <row r="40" spans="1:26" ht="15.75" customHeight="1">
      <c r="A40" s="1"/>
      <c r="B40" s="36" t="s">
        <v>51</v>
      </c>
      <c r="C40" s="38">
        <v>40266954272</v>
      </c>
      <c r="D40" s="38">
        <v>303431764582</v>
      </c>
      <c r="E40" s="38">
        <v>1114568571897</v>
      </c>
      <c r="F40" s="30">
        <f t="shared" si="8"/>
        <v>-0.23611361108279993</v>
      </c>
      <c r="G40" s="38">
        <v>6131190918</v>
      </c>
      <c r="H40" s="38">
        <v>83301719635</v>
      </c>
      <c r="I40" s="6">
        <v>360</v>
      </c>
      <c r="J40" s="34">
        <f t="shared" si="1"/>
        <v>26.496796706614589</v>
      </c>
      <c r="K40" s="38">
        <v>15772998975</v>
      </c>
      <c r="L40" s="38">
        <v>18159747909</v>
      </c>
      <c r="M40" s="38">
        <v>51671051196</v>
      </c>
      <c r="N40" s="34">
        <f t="shared" si="2"/>
        <v>126.52170017679235</v>
      </c>
      <c r="O40" s="34">
        <f t="shared" si="3"/>
        <v>9.3122771348880828</v>
      </c>
      <c r="P40" s="30">
        <f t="shared" si="4"/>
        <v>143.70621974851886</v>
      </c>
      <c r="Q40" s="38">
        <v>286364350812</v>
      </c>
      <c r="R40" s="38">
        <v>291708026819</v>
      </c>
      <c r="S40" s="30">
        <f t="shared" si="5"/>
        <v>-5343676007</v>
      </c>
      <c r="T40" s="38">
        <v>1235873364699</v>
      </c>
      <c r="U40" s="38">
        <v>121304792802</v>
      </c>
      <c r="V40" s="32">
        <f t="shared" si="6"/>
        <v>10.188165992058178</v>
      </c>
      <c r="W40" s="1"/>
      <c r="X40" s="1"/>
      <c r="Y40" s="1"/>
      <c r="Z40" s="1"/>
    </row>
    <row r="41" spans="1:26" ht="15.75" customHeight="1">
      <c r="A41" s="1"/>
      <c r="B41" s="36" t="s">
        <v>52</v>
      </c>
      <c r="C41" s="38">
        <v>652726454</v>
      </c>
      <c r="D41" s="38">
        <v>198217020</v>
      </c>
      <c r="E41" s="38">
        <v>650726454</v>
      </c>
      <c r="F41" s="30">
        <f t="shared" si="8"/>
        <v>0.69846466392466655</v>
      </c>
      <c r="G41" s="38">
        <v>264621844</v>
      </c>
      <c r="H41" s="38">
        <v>407409419</v>
      </c>
      <c r="I41" s="6">
        <v>360</v>
      </c>
      <c r="J41" s="34">
        <f t="shared" si="1"/>
        <v>233.82832943290393</v>
      </c>
      <c r="K41" s="38">
        <v>8471814</v>
      </c>
      <c r="L41" s="6">
        <f>394000+95126907</f>
        <v>95520907</v>
      </c>
      <c r="M41" s="38">
        <v>521481727</v>
      </c>
      <c r="N41" s="34">
        <f t="shared" si="2"/>
        <v>65.94195872945707</v>
      </c>
      <c r="O41" s="34">
        <f t="shared" si="3"/>
        <v>42.830827914562342</v>
      </c>
      <c r="P41" s="30">
        <f t="shared" si="4"/>
        <v>256.93946024779865</v>
      </c>
      <c r="Q41" s="38">
        <v>211756440</v>
      </c>
      <c r="R41" s="45">
        <v>220066270</v>
      </c>
      <c r="S41" s="30">
        <f t="shared" si="5"/>
        <v>-8309830</v>
      </c>
      <c r="T41" s="38">
        <v>237220555</v>
      </c>
      <c r="U41" s="38">
        <v>415505899</v>
      </c>
      <c r="V41" s="32">
        <f t="shared" si="6"/>
        <v>0.57091982465452318</v>
      </c>
      <c r="W41" s="1"/>
      <c r="X41" s="1"/>
      <c r="Y41" s="1"/>
      <c r="Z41" s="1"/>
    </row>
    <row r="42" spans="1:26" ht="15.75" customHeight="1">
      <c r="A42" s="1"/>
      <c r="B42" s="36" t="s">
        <v>53</v>
      </c>
      <c r="C42" s="38">
        <v>145540638781</v>
      </c>
      <c r="D42" s="38">
        <v>28527518002</v>
      </c>
      <c r="E42" s="38">
        <v>303788390330</v>
      </c>
      <c r="F42" s="30">
        <f t="shared" si="8"/>
        <v>0.38517969910532363</v>
      </c>
      <c r="G42" s="38">
        <v>24386752038</v>
      </c>
      <c r="H42" s="38">
        <v>209449833745</v>
      </c>
      <c r="I42" s="6">
        <v>360</v>
      </c>
      <c r="J42" s="34">
        <f t="shared" si="1"/>
        <v>41.915672964288412</v>
      </c>
      <c r="K42" s="38">
        <v>24694013073</v>
      </c>
      <c r="L42" s="6">
        <f>52195533674+16733070305</f>
        <v>68928603979</v>
      </c>
      <c r="M42" s="38">
        <v>269706737385</v>
      </c>
      <c r="N42" s="34">
        <f t="shared" si="2"/>
        <v>92.004736971098268</v>
      </c>
      <c r="O42" s="34">
        <f t="shared" si="3"/>
        <v>10.712334627905362</v>
      </c>
      <c r="P42" s="30">
        <f t="shared" si="4"/>
        <v>123.20807530748132</v>
      </c>
      <c r="Q42" s="38">
        <v>135918981861</v>
      </c>
      <c r="R42" s="38">
        <v>128538899975</v>
      </c>
      <c r="S42" s="30">
        <f t="shared" si="5"/>
        <v>7380081886</v>
      </c>
      <c r="T42" s="38">
        <v>35408565186</v>
      </c>
      <c r="U42" s="38">
        <v>268379825144</v>
      </c>
      <c r="V42" s="32">
        <f t="shared" si="6"/>
        <v>0.1319345266247246</v>
      </c>
      <c r="W42" s="1"/>
      <c r="X42" s="1"/>
      <c r="Y42" s="1"/>
      <c r="Z42" s="1"/>
    </row>
    <row r="43" spans="1:26" ht="15.75" customHeight="1">
      <c r="A43" s="39"/>
      <c r="B43" s="40" t="s">
        <v>54</v>
      </c>
      <c r="C43" s="41"/>
      <c r="D43" s="41"/>
      <c r="E43" s="41"/>
      <c r="F43" s="30" t="e">
        <f t="shared" si="8"/>
        <v>#DIV/0!</v>
      </c>
      <c r="G43" s="41"/>
      <c r="H43" s="41"/>
      <c r="I43" s="6">
        <v>360</v>
      </c>
      <c r="J43" s="34" t="e">
        <f t="shared" si="1"/>
        <v>#DIV/0!</v>
      </c>
      <c r="K43" s="41"/>
      <c r="L43" s="41"/>
      <c r="M43" s="41"/>
      <c r="N43" s="34" t="e">
        <f t="shared" si="2"/>
        <v>#DIV/0!</v>
      </c>
      <c r="O43" s="34" t="e">
        <f t="shared" si="3"/>
        <v>#DIV/0!</v>
      </c>
      <c r="P43" s="30" t="e">
        <f t="shared" si="4"/>
        <v>#DIV/0!</v>
      </c>
      <c r="Q43" s="41"/>
      <c r="R43" s="41"/>
      <c r="S43" s="30">
        <f t="shared" si="5"/>
        <v>0</v>
      </c>
      <c r="T43" s="41"/>
      <c r="U43" s="41"/>
      <c r="V43" s="32" t="e">
        <f t="shared" si="6"/>
        <v>#DIV/0!</v>
      </c>
      <c r="W43" s="39"/>
      <c r="X43" s="39"/>
      <c r="Y43" s="39"/>
      <c r="Z43" s="39"/>
    </row>
    <row r="44" spans="1:26" ht="15.75" customHeight="1">
      <c r="A44" s="1"/>
      <c r="B44" s="42" t="s">
        <v>55</v>
      </c>
      <c r="C44" s="38">
        <v>154870392</v>
      </c>
      <c r="D44" s="38">
        <v>60458859</v>
      </c>
      <c r="E44" s="38">
        <v>223746950</v>
      </c>
      <c r="F44" s="30">
        <f t="shared" si="8"/>
        <v>0.4219567372873686</v>
      </c>
      <c r="G44" s="6">
        <f>8331729+87681790</f>
        <v>96013519</v>
      </c>
      <c r="H44" s="38">
        <v>281490536</v>
      </c>
      <c r="I44" s="6">
        <v>360</v>
      </c>
      <c r="J44" s="34">
        <f t="shared" si="1"/>
        <v>122.79228755314175</v>
      </c>
      <c r="K44" s="6">
        <f>21791196+3207570</f>
        <v>24998766</v>
      </c>
      <c r="L44" s="6">
        <f>14393756+30274741</f>
        <v>44668497</v>
      </c>
      <c r="M44" s="38">
        <v>320549223</v>
      </c>
      <c r="N44" s="34">
        <f t="shared" si="2"/>
        <v>50.165958193572038</v>
      </c>
      <c r="O44" s="34">
        <f t="shared" si="3"/>
        <v>17.111091010788847</v>
      </c>
      <c r="P44" s="30">
        <f t="shared" si="4"/>
        <v>155.84715473592493</v>
      </c>
      <c r="Q44" s="38">
        <v>33724102</v>
      </c>
      <c r="R44" s="38">
        <v>35165785</v>
      </c>
      <c r="S44" s="30">
        <f t="shared" si="5"/>
        <v>-1441683</v>
      </c>
      <c r="T44" s="38">
        <v>65335271</v>
      </c>
      <c r="U44" s="38">
        <v>158411679</v>
      </c>
      <c r="V44" s="32">
        <f t="shared" si="6"/>
        <v>0.41243973558287961</v>
      </c>
      <c r="W44" s="1"/>
      <c r="X44" s="1"/>
      <c r="Y44" s="1"/>
      <c r="Z44" s="1"/>
    </row>
    <row r="45" spans="1:26" ht="15.75" customHeight="1">
      <c r="A45" s="1"/>
      <c r="B45" s="12" t="s">
        <v>56</v>
      </c>
      <c r="C45" s="6"/>
      <c r="D45" s="6"/>
      <c r="E45" s="6"/>
      <c r="F45" s="30" t="e">
        <f t="shared" si="8"/>
        <v>#DIV/0!</v>
      </c>
      <c r="G45" s="6"/>
      <c r="H45" s="6"/>
      <c r="I45" s="6">
        <v>360</v>
      </c>
      <c r="J45" s="34" t="e">
        <f t="shared" si="1"/>
        <v>#DIV/0!</v>
      </c>
      <c r="K45" s="6"/>
      <c r="L45" s="6"/>
      <c r="M45" s="6"/>
      <c r="N45" s="34" t="e">
        <f t="shared" si="2"/>
        <v>#DIV/0!</v>
      </c>
      <c r="O45" s="34" t="e">
        <f t="shared" si="3"/>
        <v>#DIV/0!</v>
      </c>
      <c r="P45" s="30" t="e">
        <f t="shared" si="4"/>
        <v>#DIV/0!</v>
      </c>
      <c r="Q45" s="6"/>
      <c r="R45" s="6"/>
      <c r="S45" s="30">
        <f t="shared" si="5"/>
        <v>0</v>
      </c>
      <c r="T45" s="6"/>
      <c r="U45" s="6"/>
      <c r="V45" s="32" t="e">
        <f t="shared" si="6"/>
        <v>#DIV/0!</v>
      </c>
      <c r="W45" s="1"/>
      <c r="X45" s="1"/>
      <c r="Y45" s="1"/>
      <c r="Z45" s="1"/>
    </row>
    <row r="46" spans="1:26" ht="15.75" customHeight="1">
      <c r="A46" s="1"/>
      <c r="B46" s="36" t="s">
        <v>57</v>
      </c>
      <c r="C46" s="38">
        <v>1003030428</v>
      </c>
      <c r="D46" s="38">
        <v>961284302</v>
      </c>
      <c r="E46" s="38">
        <v>2745325833</v>
      </c>
      <c r="F46" s="30">
        <f t="shared" si="8"/>
        <v>1.520625548275311E-2</v>
      </c>
      <c r="G46" s="38">
        <v>356153488</v>
      </c>
      <c r="H46" s="38">
        <v>1866026156</v>
      </c>
      <c r="I46" s="6">
        <v>360</v>
      </c>
      <c r="J46" s="34">
        <f t="shared" si="1"/>
        <v>68.710320735718568</v>
      </c>
      <c r="K46" s="6">
        <f>425291740+1807</f>
        <v>425293547</v>
      </c>
      <c r="L46" s="6">
        <f>434959458+35049</f>
        <v>434994507</v>
      </c>
      <c r="M46" s="38">
        <v>2064857643</v>
      </c>
      <c r="N46" s="34">
        <f t="shared" si="2"/>
        <v>75.839621705097855</v>
      </c>
      <c r="O46" s="34">
        <f t="shared" si="3"/>
        <v>14.474902032868993</v>
      </c>
      <c r="P46" s="30">
        <f t="shared" si="4"/>
        <v>130.07504040794745</v>
      </c>
      <c r="Q46" s="38">
        <v>1588222494</v>
      </c>
      <c r="R46" s="38">
        <v>1622384162</v>
      </c>
      <c r="S46" s="30">
        <f t="shared" si="5"/>
        <v>-34161668</v>
      </c>
      <c r="T46" s="38">
        <v>1618713342</v>
      </c>
      <c r="U46" s="38">
        <v>1126612491</v>
      </c>
      <c r="V46" s="32">
        <f t="shared" si="6"/>
        <v>1.4367969065949224</v>
      </c>
      <c r="W46" s="1"/>
      <c r="X46" s="1"/>
      <c r="Y46" s="1"/>
      <c r="Z46" s="1"/>
    </row>
    <row r="47" spans="1:26" ht="15.75" customHeight="1">
      <c r="A47" s="1"/>
      <c r="B47" s="36" t="s">
        <v>58</v>
      </c>
      <c r="C47" s="38">
        <v>126404952607</v>
      </c>
      <c r="D47" s="38">
        <v>73638951697</v>
      </c>
      <c r="E47" s="38">
        <v>398698779619</v>
      </c>
      <c r="F47" s="30">
        <f t="shared" si="8"/>
        <v>0.13234552902425145</v>
      </c>
      <c r="G47" s="38">
        <v>53923042843</v>
      </c>
      <c r="H47" s="38">
        <v>327121759711</v>
      </c>
      <c r="I47" s="6">
        <v>360</v>
      </c>
      <c r="J47" s="34">
        <f t="shared" si="1"/>
        <v>59.342721317683193</v>
      </c>
      <c r="K47" s="6">
        <f>32772469165+7500125980</f>
        <v>40272595145</v>
      </c>
      <c r="L47" s="38">
        <v>57587237763</v>
      </c>
      <c r="M47" s="38">
        <v>382238397027</v>
      </c>
      <c r="N47" s="34">
        <f t="shared" si="2"/>
        <v>54.236847359988289</v>
      </c>
      <c r="O47" s="34">
        <f t="shared" si="3"/>
        <v>8.9404503278708507</v>
      </c>
      <c r="P47" s="30">
        <f t="shared" si="4"/>
        <v>104.63911834980064</v>
      </c>
      <c r="Q47" s="38">
        <v>261132927270</v>
      </c>
      <c r="R47" s="38">
        <v>274228874906</v>
      </c>
      <c r="S47" s="30">
        <f t="shared" si="5"/>
        <v>-13095947636</v>
      </c>
      <c r="T47" s="38">
        <v>171514782371</v>
      </c>
      <c r="U47" s="38">
        <v>227183997248</v>
      </c>
      <c r="V47" s="32">
        <f t="shared" si="6"/>
        <v>0.75495978787524354</v>
      </c>
      <c r="W47" s="1"/>
      <c r="X47" s="1"/>
      <c r="Y47" s="1"/>
      <c r="Z47" s="1"/>
    </row>
    <row r="48" spans="1:26" ht="15.75" customHeight="1">
      <c r="A48" s="1"/>
      <c r="B48" s="36" t="s">
        <v>59</v>
      </c>
      <c r="C48" s="38">
        <v>718757530</v>
      </c>
      <c r="D48" s="38">
        <v>654032840</v>
      </c>
      <c r="E48" s="38">
        <v>1964877082</v>
      </c>
      <c r="F48" s="30">
        <f t="shared" si="8"/>
        <v>3.2940834107606537E-2</v>
      </c>
      <c r="G48" s="38">
        <v>236755106</v>
      </c>
      <c r="H48" s="38">
        <v>1212748593</v>
      </c>
      <c r="I48" s="6">
        <v>360</v>
      </c>
      <c r="J48" s="34">
        <f t="shared" si="1"/>
        <v>70.279890368011337</v>
      </c>
      <c r="K48" s="38">
        <v>182843879</v>
      </c>
      <c r="L48" s="6">
        <f>25764300+285447457</f>
        <v>311211757</v>
      </c>
      <c r="M48" s="38">
        <v>1310440496</v>
      </c>
      <c r="N48" s="34">
        <f t="shared" si="2"/>
        <v>85.495093338446395</v>
      </c>
      <c r="O48" s="34">
        <f t="shared" si="3"/>
        <v>16.690516074524748</v>
      </c>
      <c r="P48" s="30">
        <f t="shared" si="4"/>
        <v>139.08446763193299</v>
      </c>
      <c r="Q48" s="38">
        <v>1126409541</v>
      </c>
      <c r="R48" s="38">
        <v>1196816898</v>
      </c>
      <c r="S48" s="30">
        <f t="shared" si="5"/>
        <v>-70407357</v>
      </c>
      <c r="T48" s="38">
        <v>1111847645</v>
      </c>
      <c r="U48" s="38">
        <v>853029437</v>
      </c>
      <c r="V48" s="32">
        <f t="shared" si="6"/>
        <v>1.3034106406810906</v>
      </c>
      <c r="W48" s="1"/>
      <c r="X48" s="1"/>
      <c r="Y48" s="1"/>
      <c r="Z48" s="1"/>
    </row>
    <row r="49" spans="1:26" ht="15.75" customHeight="1">
      <c r="A49" s="1"/>
      <c r="B49" s="36" t="s">
        <v>60</v>
      </c>
      <c r="C49" s="38">
        <v>396252892753</v>
      </c>
      <c r="D49" s="38">
        <v>60941267200</v>
      </c>
      <c r="E49" s="38">
        <v>513022591574</v>
      </c>
      <c r="F49" s="30">
        <f t="shared" si="8"/>
        <v>0.65360011636959969</v>
      </c>
      <c r="G49" s="38">
        <v>106859235186</v>
      </c>
      <c r="H49" s="38">
        <v>632967231181</v>
      </c>
      <c r="I49" s="6">
        <v>360</v>
      </c>
      <c r="J49" s="34">
        <f t="shared" si="1"/>
        <v>60.776170979946848</v>
      </c>
      <c r="K49" s="38">
        <v>52416665052</v>
      </c>
      <c r="L49" s="38">
        <v>138818678276</v>
      </c>
      <c r="M49" s="38">
        <v>761926952217</v>
      </c>
      <c r="N49" s="34">
        <f t="shared" si="2"/>
        <v>65.589915193244124</v>
      </c>
      <c r="O49" s="34">
        <f t="shared" si="3"/>
        <v>11.073066389846717</v>
      </c>
      <c r="P49" s="30">
        <f t="shared" si="4"/>
        <v>115.29301978334426</v>
      </c>
      <c r="Q49" s="38">
        <v>86389049329</v>
      </c>
      <c r="R49" s="38">
        <v>70591030568</v>
      </c>
      <c r="S49" s="30">
        <f t="shared" si="5"/>
        <v>15798018761</v>
      </c>
      <c r="T49" s="38">
        <v>71075842431</v>
      </c>
      <c r="U49" s="38">
        <v>441946749143</v>
      </c>
      <c r="V49" s="32">
        <f t="shared" si="6"/>
        <v>0.16082444902881751</v>
      </c>
      <c r="W49" s="1"/>
      <c r="X49" s="1"/>
      <c r="Y49" s="1"/>
      <c r="Z49" s="1"/>
    </row>
    <row r="50" spans="1:26" ht="15.75" customHeight="1">
      <c r="A50" s="1"/>
      <c r="B50" s="36" t="s">
        <v>61</v>
      </c>
      <c r="C50" s="38">
        <v>1200668597438</v>
      </c>
      <c r="D50" s="38">
        <v>333004593743</v>
      </c>
      <c r="E50" s="38">
        <v>2294677493483</v>
      </c>
      <c r="F50" s="30">
        <f t="shared" si="8"/>
        <v>0.37812023962374214</v>
      </c>
      <c r="G50" s="6">
        <f>260085493772+261321500934</f>
        <v>521406994706</v>
      </c>
      <c r="H50" s="38">
        <v>808527225593</v>
      </c>
      <c r="I50" s="6">
        <v>360</v>
      </c>
      <c r="J50" s="34">
        <f t="shared" si="1"/>
        <v>232.15856207747362</v>
      </c>
      <c r="K50" s="6">
        <f>104751525720+417105859</f>
        <v>105168631579</v>
      </c>
      <c r="L50" s="6">
        <f>198611184254+43596466151</f>
        <v>242207650405</v>
      </c>
      <c r="M50" s="38">
        <v>1193054430825</v>
      </c>
      <c r="N50" s="34">
        <f t="shared" si="2"/>
        <v>73.085311024329883</v>
      </c>
      <c r="O50" s="34">
        <f t="shared" si="3"/>
        <v>47.131613101092661</v>
      </c>
      <c r="P50" s="30">
        <f t="shared" si="4"/>
        <v>258.11226000071082</v>
      </c>
      <c r="Q50" s="38">
        <v>742160252895</v>
      </c>
      <c r="R50" s="38">
        <v>699965839974</v>
      </c>
      <c r="S50" s="30">
        <f t="shared" si="5"/>
        <v>42194412921</v>
      </c>
      <c r="T50" s="38">
        <v>1005656523820</v>
      </c>
      <c r="U50" s="38">
        <v>1289677493483</v>
      </c>
      <c r="V50" s="32">
        <f t="shared" si="6"/>
        <v>0.77977364798702375</v>
      </c>
      <c r="W50" s="1"/>
      <c r="X50" s="1"/>
      <c r="Y50" s="1"/>
      <c r="Z50" s="1"/>
    </row>
    <row r="51" spans="1:26" ht="15.75" customHeight="1">
      <c r="A51" s="1"/>
      <c r="B51" s="36" t="s">
        <v>62</v>
      </c>
      <c r="C51" s="38">
        <v>98032607</v>
      </c>
      <c r="D51" s="38">
        <v>100644759</v>
      </c>
      <c r="E51" s="38">
        <v>287793458</v>
      </c>
      <c r="F51" s="30">
        <f t="shared" si="8"/>
        <v>-9.0764815091801017E-3</v>
      </c>
      <c r="G51" s="38">
        <v>26545651</v>
      </c>
      <c r="H51" s="38">
        <v>160834920</v>
      </c>
      <c r="I51" s="6">
        <v>360</v>
      </c>
      <c r="J51" s="34">
        <f t="shared" si="1"/>
        <v>59.417658553254476</v>
      </c>
      <c r="K51" s="38">
        <v>9803501</v>
      </c>
      <c r="L51" s="6">
        <f>47349803+1828963</f>
        <v>49178766</v>
      </c>
      <c r="M51" s="38">
        <v>198934982</v>
      </c>
      <c r="N51" s="34">
        <f t="shared" si="2"/>
        <v>88.995688852752906</v>
      </c>
      <c r="O51" s="34">
        <f t="shared" si="3"/>
        <v>14.688654036012633</v>
      </c>
      <c r="P51" s="30">
        <f t="shared" si="4"/>
        <v>133.72469336999475</v>
      </c>
      <c r="Q51" s="38">
        <v>186860062</v>
      </c>
      <c r="R51" s="38">
        <v>188858978</v>
      </c>
      <c r="S51" s="30">
        <f t="shared" si="5"/>
        <v>-1998916</v>
      </c>
      <c r="T51" s="38">
        <v>128349250</v>
      </c>
      <c r="U51" s="38">
        <v>159444208</v>
      </c>
      <c r="V51" s="32">
        <f t="shared" si="6"/>
        <v>0.80497906828951726</v>
      </c>
      <c r="W51" s="1"/>
      <c r="X51" s="1"/>
      <c r="Y51" s="1"/>
      <c r="Z51" s="1"/>
    </row>
    <row r="52" spans="1:26" ht="15.75" customHeight="1">
      <c r="A52" s="1"/>
      <c r="B52" s="36" t="s">
        <v>63</v>
      </c>
      <c r="C52" s="38">
        <v>87720</v>
      </c>
      <c r="D52" s="38">
        <v>78404</v>
      </c>
      <c r="E52" s="38">
        <v>191857</v>
      </c>
      <c r="F52" s="30">
        <f t="shared" si="8"/>
        <v>4.8556998180936846E-2</v>
      </c>
      <c r="G52" s="38">
        <v>50150</v>
      </c>
      <c r="H52" s="38">
        <v>426548</v>
      </c>
      <c r="I52" s="6">
        <v>360</v>
      </c>
      <c r="J52" s="34">
        <f t="shared" si="1"/>
        <v>42.325834372684902</v>
      </c>
      <c r="K52" s="6">
        <f>287+49526</f>
        <v>49813</v>
      </c>
      <c r="L52" s="6">
        <f>13529+8958</f>
        <v>22487</v>
      </c>
      <c r="M52" s="38">
        <v>433346</v>
      </c>
      <c r="N52" s="34">
        <f t="shared" si="2"/>
        <v>18.680961633429177</v>
      </c>
      <c r="O52" s="34">
        <f t="shared" si="3"/>
        <v>2.1963535778305681</v>
      </c>
      <c r="P52" s="30">
        <f t="shared" si="4"/>
        <v>58.810442428283508</v>
      </c>
      <c r="Q52" s="38">
        <v>95614</v>
      </c>
      <c r="R52" s="38">
        <v>106458</v>
      </c>
      <c r="S52" s="30">
        <f t="shared" si="5"/>
        <v>-10844</v>
      </c>
      <c r="T52" s="38">
        <v>95955</v>
      </c>
      <c r="U52" s="38">
        <v>95902</v>
      </c>
      <c r="V52" s="32">
        <f t="shared" si="6"/>
        <v>1.0005526474943172</v>
      </c>
      <c r="W52" s="1"/>
      <c r="X52" s="1"/>
      <c r="Y52" s="1"/>
      <c r="Z52" s="1"/>
    </row>
    <row r="53" spans="1:26" ht="15.75" customHeight="1">
      <c r="A53" s="1"/>
      <c r="B53" s="36" t="s">
        <v>64</v>
      </c>
      <c r="C53" s="38">
        <v>1189727024906</v>
      </c>
      <c r="D53" s="38">
        <v>968421072104</v>
      </c>
      <c r="E53" s="38">
        <v>3332905936010</v>
      </c>
      <c r="F53" s="30">
        <f t="shared" si="8"/>
        <v>6.6400299633699589E-2</v>
      </c>
      <c r="G53" s="38">
        <v>630688428478</v>
      </c>
      <c r="H53" s="38">
        <v>2159382022383</v>
      </c>
      <c r="I53" s="6">
        <v>360</v>
      </c>
      <c r="J53" s="34">
        <f t="shared" si="1"/>
        <v>105.1448200914074</v>
      </c>
      <c r="K53" s="38">
        <v>384189886295</v>
      </c>
      <c r="L53" s="6">
        <f>419495147376+10794670308</f>
        <v>430289817684</v>
      </c>
      <c r="M53" s="38">
        <v>2354938016436</v>
      </c>
      <c r="N53" s="34">
        <f t="shared" si="2"/>
        <v>65.778518706269239</v>
      </c>
      <c r="O53" s="34">
        <f t="shared" si="3"/>
        <v>19.211862542360986</v>
      </c>
      <c r="P53" s="30">
        <f t="shared" si="4"/>
        <v>151.71147625531566</v>
      </c>
      <c r="Q53" s="38">
        <v>1992196958293</v>
      </c>
      <c r="R53" s="38">
        <v>2025462701661</v>
      </c>
      <c r="S53" s="30">
        <f t="shared" si="5"/>
        <v>-33265743368</v>
      </c>
      <c r="T53" s="38">
        <v>1357336438524</v>
      </c>
      <c r="U53" s="38">
        <v>1975569497486</v>
      </c>
      <c r="V53" s="32">
        <f t="shared" si="6"/>
        <v>0.68706084005208168</v>
      </c>
      <c r="W53" s="1"/>
      <c r="X53" s="1"/>
      <c r="Y53" s="1"/>
      <c r="Z53" s="1"/>
    </row>
    <row r="54" spans="1:26" ht="15.75" customHeight="1">
      <c r="A54" s="1"/>
      <c r="B54" s="36" t="s">
        <v>65</v>
      </c>
      <c r="C54" s="38">
        <v>351255636607</v>
      </c>
      <c r="D54" s="38">
        <v>127673269661</v>
      </c>
      <c r="E54" s="38">
        <v>921240988517</v>
      </c>
      <c r="F54" s="30">
        <f t="shared" si="8"/>
        <v>0.24269693786195895</v>
      </c>
      <c r="G54" s="38">
        <v>166469096531</v>
      </c>
      <c r="H54" s="38">
        <v>576604310384</v>
      </c>
      <c r="I54" s="6">
        <v>360</v>
      </c>
      <c r="J54" s="34">
        <f t="shared" si="1"/>
        <v>103.93414282881322</v>
      </c>
      <c r="K54" s="6">
        <f>5932485674+96342554287</f>
        <v>102275039961</v>
      </c>
      <c r="L54" s="38">
        <v>137601719759</v>
      </c>
      <c r="M54" s="38">
        <v>646067885410</v>
      </c>
      <c r="N54" s="34">
        <f t="shared" si="2"/>
        <v>76.674015582439381</v>
      </c>
      <c r="O54" s="34">
        <f t="shared" si="3"/>
        <v>22.136244685566403</v>
      </c>
      <c r="P54" s="30">
        <f t="shared" si="4"/>
        <v>158.47191372568619</v>
      </c>
      <c r="Q54" s="38">
        <v>557421928580</v>
      </c>
      <c r="R54" s="38">
        <v>546284875130</v>
      </c>
      <c r="S54" s="30">
        <f t="shared" si="5"/>
        <v>11137053450</v>
      </c>
      <c r="T54" s="38">
        <v>155076156734</v>
      </c>
      <c r="U54" s="38">
        <v>766164831783</v>
      </c>
      <c r="V54" s="32">
        <f t="shared" si="6"/>
        <v>0.20240573607784967</v>
      </c>
      <c r="W54" s="1"/>
      <c r="X54" s="1"/>
      <c r="Y54" s="1"/>
      <c r="Z54" s="1"/>
    </row>
    <row r="55" spans="1:26" ht="15.75" customHeight="1">
      <c r="A55" s="1"/>
      <c r="B55" s="36" t="s">
        <v>66</v>
      </c>
      <c r="C55" s="38">
        <v>148857935337</v>
      </c>
      <c r="D55" s="38">
        <v>166371675360</v>
      </c>
      <c r="E55" s="38">
        <v>303542864533</v>
      </c>
      <c r="F55" s="30">
        <f t="shared" si="8"/>
        <v>-5.769774904755165E-2</v>
      </c>
      <c r="G55" s="38">
        <v>58144354721</v>
      </c>
      <c r="H55" s="38">
        <v>284888808374</v>
      </c>
      <c r="I55" s="6">
        <v>360</v>
      </c>
      <c r="J55" s="34">
        <f t="shared" si="1"/>
        <v>73.474166356442694</v>
      </c>
      <c r="K55" s="6">
        <f>759692700+13810833834</f>
        <v>14570526534</v>
      </c>
      <c r="L55" s="6">
        <f>78193416745+2948477950</f>
        <v>81141894695</v>
      </c>
      <c r="M55" s="38">
        <v>302591131450</v>
      </c>
      <c r="N55" s="34">
        <f t="shared" si="2"/>
        <v>96.536477953673355</v>
      </c>
      <c r="O55" s="34">
        <f t="shared" si="3"/>
        <v>19.702603446203497</v>
      </c>
      <c r="P55" s="30">
        <f t="shared" si="4"/>
        <v>150.30804086391254</v>
      </c>
      <c r="Q55" s="38">
        <v>145775746645</v>
      </c>
      <c r="R55" s="38">
        <v>153609623357</v>
      </c>
      <c r="S55" s="30">
        <f t="shared" si="5"/>
        <v>-7833876712</v>
      </c>
      <c r="T55" s="38">
        <v>176449823868</v>
      </c>
      <c r="U55" s="38">
        <v>127093040665</v>
      </c>
      <c r="V55" s="32">
        <f t="shared" si="6"/>
        <v>1.3883515804228634</v>
      </c>
      <c r="W55" s="1"/>
      <c r="X55" s="1"/>
      <c r="Y55" s="1"/>
      <c r="Z55" s="1"/>
    </row>
    <row r="56" spans="1:26" ht="15.75" customHeight="1">
      <c r="A56" s="1"/>
      <c r="B56" s="9" t="s">
        <v>67</v>
      </c>
      <c r="C56" s="6"/>
      <c r="D56" s="6"/>
      <c r="E56" s="6"/>
      <c r="F56" s="30" t="e">
        <f t="shared" si="8"/>
        <v>#DIV/0!</v>
      </c>
      <c r="G56" s="6"/>
      <c r="H56" s="6"/>
      <c r="I56" s="6">
        <v>360</v>
      </c>
      <c r="J56" s="34" t="e">
        <f t="shared" si="1"/>
        <v>#DIV/0!</v>
      </c>
      <c r="K56" s="6"/>
      <c r="L56" s="6"/>
      <c r="M56" s="6"/>
      <c r="N56" s="34" t="e">
        <f t="shared" si="2"/>
        <v>#DIV/0!</v>
      </c>
      <c r="O56" s="34" t="e">
        <f t="shared" si="3"/>
        <v>#DIV/0!</v>
      </c>
      <c r="P56" s="30" t="e">
        <f t="shared" si="4"/>
        <v>#DIV/0!</v>
      </c>
      <c r="Q56" s="6"/>
      <c r="R56" s="6"/>
      <c r="S56" s="30">
        <f t="shared" si="5"/>
        <v>0</v>
      </c>
      <c r="T56" s="6"/>
      <c r="U56" s="6"/>
      <c r="V56" s="32" t="e">
        <f t="shared" si="6"/>
        <v>#DIV/0!</v>
      </c>
      <c r="W56" s="1"/>
      <c r="X56" s="1"/>
      <c r="Y56" s="1"/>
      <c r="Z56" s="1"/>
    </row>
    <row r="57" spans="1:26" ht="15.75" customHeight="1">
      <c r="A57" s="1"/>
      <c r="B57" s="36" t="s">
        <v>68</v>
      </c>
      <c r="C57" s="38">
        <v>11720730</v>
      </c>
      <c r="D57" s="38">
        <v>5059552</v>
      </c>
      <c r="E57" s="38">
        <v>24522593</v>
      </c>
      <c r="F57" s="30">
        <f t="shared" si="8"/>
        <v>0.27163432513029923</v>
      </c>
      <c r="G57" s="6">
        <f>1266298+5773031</f>
        <v>7039329</v>
      </c>
      <c r="H57" s="38">
        <v>43116098</v>
      </c>
      <c r="I57" s="6">
        <v>360</v>
      </c>
      <c r="J57" s="34">
        <f t="shared" si="1"/>
        <v>58.775226830591208</v>
      </c>
      <c r="K57" s="6">
        <f>864644+158636</f>
        <v>1023280</v>
      </c>
      <c r="L57" s="6">
        <f>2239906+119772</f>
        <v>2359678</v>
      </c>
      <c r="M57" s="38">
        <v>49367386</v>
      </c>
      <c r="N57" s="34">
        <f t="shared" si="2"/>
        <v>17.207394371660676</v>
      </c>
      <c r="O57" s="34">
        <f t="shared" si="3"/>
        <v>2.8093569648827628</v>
      </c>
      <c r="P57" s="30">
        <f t="shared" si="4"/>
        <v>73.173264237369125</v>
      </c>
      <c r="Q57" s="38">
        <v>11009361</v>
      </c>
      <c r="R57" s="38">
        <v>11233847</v>
      </c>
      <c r="S57" s="30">
        <f t="shared" si="5"/>
        <v>-224486</v>
      </c>
      <c r="T57" s="38">
        <v>8819768</v>
      </c>
      <c r="U57" s="38">
        <v>15702825</v>
      </c>
      <c r="V57" s="32">
        <f t="shared" si="6"/>
        <v>0.56166759802774346</v>
      </c>
      <c r="W57" s="1"/>
      <c r="X57" s="1"/>
      <c r="Y57" s="1"/>
      <c r="Z57" s="1"/>
    </row>
    <row r="58" spans="1:26" ht="15.75" customHeight="1">
      <c r="A58" s="1"/>
      <c r="B58" s="36" t="s">
        <v>69</v>
      </c>
      <c r="C58" s="38">
        <v>11189325</v>
      </c>
      <c r="D58" s="38">
        <v>4769640</v>
      </c>
      <c r="E58" s="38">
        <v>21088870</v>
      </c>
      <c r="F58" s="30">
        <f t="shared" si="8"/>
        <v>0.30441104715425721</v>
      </c>
      <c r="G58" s="38">
        <v>6413912</v>
      </c>
      <c r="H58" s="38">
        <v>24571742</v>
      </c>
      <c r="I58" s="6">
        <v>360</v>
      </c>
      <c r="J58" s="34">
        <f t="shared" si="1"/>
        <v>93.970070172476994</v>
      </c>
      <c r="K58" s="6">
        <f>1432548+1783455</f>
        <v>3216003</v>
      </c>
      <c r="L58" s="6">
        <f>97012+1443591</f>
        <v>1540603</v>
      </c>
      <c r="M58" s="38">
        <v>29602688</v>
      </c>
      <c r="N58" s="34">
        <f t="shared" si="2"/>
        <v>18.735362140086739</v>
      </c>
      <c r="O58" s="34">
        <f t="shared" si="3"/>
        <v>4.8904535972519989</v>
      </c>
      <c r="P58" s="30">
        <f t="shared" si="4"/>
        <v>107.81497871531172</v>
      </c>
      <c r="Q58" s="38">
        <v>1043</v>
      </c>
      <c r="R58" s="38">
        <v>124</v>
      </c>
      <c r="S58" s="30">
        <f t="shared" si="5"/>
        <v>919</v>
      </c>
      <c r="T58" s="38">
        <v>11293242</v>
      </c>
      <c r="U58" s="38">
        <v>9795628</v>
      </c>
      <c r="V58" s="32">
        <f t="shared" si="6"/>
        <v>1.1528859609613595</v>
      </c>
      <c r="W58" s="1"/>
      <c r="X58" s="1"/>
      <c r="Y58" s="1"/>
      <c r="Z58" s="1"/>
    </row>
    <row r="59" spans="1:26" ht="15.75" customHeight="1">
      <c r="A59" s="1"/>
      <c r="B59" s="36" t="s">
        <v>70</v>
      </c>
      <c r="C59" s="38">
        <v>1695042774</v>
      </c>
      <c r="D59" s="38">
        <v>1865529073</v>
      </c>
      <c r="E59" s="38">
        <v>4072245477</v>
      </c>
      <c r="F59" s="30">
        <f t="shared" si="8"/>
        <v>-4.1865427799700393E-2</v>
      </c>
      <c r="G59" s="6">
        <f>235807371+707610857</f>
        <v>943418228</v>
      </c>
      <c r="H59" s="38">
        <v>4876948219</v>
      </c>
      <c r="I59" s="6">
        <v>360</v>
      </c>
      <c r="J59" s="34">
        <f t="shared" si="1"/>
        <v>69.639977057135951</v>
      </c>
      <c r="K59" s="6">
        <f>217348205+35864607</f>
        <v>253212812</v>
      </c>
      <c r="L59" s="6">
        <f>361114944+79836705</f>
        <v>440951649</v>
      </c>
      <c r="M59" s="38">
        <v>5441395835</v>
      </c>
      <c r="N59" s="34">
        <f t="shared" si="2"/>
        <v>29.173138373602622</v>
      </c>
      <c r="O59" s="34">
        <f t="shared" si="3"/>
        <v>5.643379686173164</v>
      </c>
      <c r="P59" s="30">
        <f t="shared" si="4"/>
        <v>93.169735744565415</v>
      </c>
      <c r="Q59" s="38">
        <v>2038990401</v>
      </c>
      <c r="R59" s="38">
        <v>1956951734</v>
      </c>
      <c r="S59" s="30">
        <f t="shared" si="5"/>
        <v>82038667</v>
      </c>
      <c r="T59" s="38">
        <v>2371092779</v>
      </c>
      <c r="U59" s="38">
        <v>1701152698</v>
      </c>
      <c r="V59" s="32">
        <f t="shared" si="6"/>
        <v>1.3938153710643557</v>
      </c>
      <c r="W59" s="1"/>
      <c r="X59" s="1"/>
      <c r="Y59" s="1"/>
      <c r="Z59" s="1"/>
    </row>
    <row r="60" spans="1:26" ht="15.75" customHeight="1">
      <c r="A60" s="1"/>
      <c r="B60" s="36" t="s">
        <v>71</v>
      </c>
      <c r="C60" s="38">
        <v>1168670</v>
      </c>
      <c r="D60" s="38">
        <v>1072809</v>
      </c>
      <c r="E60" s="38">
        <v>2239699</v>
      </c>
      <c r="F60" s="30">
        <f t="shared" si="8"/>
        <v>4.2800840648676453E-2</v>
      </c>
      <c r="G60" s="38">
        <v>394641</v>
      </c>
      <c r="H60" s="38">
        <v>2203687</v>
      </c>
      <c r="I60" s="6">
        <v>360</v>
      </c>
      <c r="J60" s="34">
        <f t="shared" si="1"/>
        <v>64.469573038276309</v>
      </c>
      <c r="K60" s="38">
        <v>206816</v>
      </c>
      <c r="L60" s="6">
        <f>288240+446</f>
        <v>288686</v>
      </c>
      <c r="M60" s="38">
        <v>2449961</v>
      </c>
      <c r="N60" s="34">
        <f t="shared" si="2"/>
        <v>42.419842601576107</v>
      </c>
      <c r="O60" s="34">
        <f t="shared" si="3"/>
        <v>7.5966365024291544</v>
      </c>
      <c r="P60" s="30">
        <f t="shared" si="4"/>
        <v>99.292779137423267</v>
      </c>
      <c r="Q60" s="38">
        <v>915679</v>
      </c>
      <c r="R60" s="38">
        <v>835516</v>
      </c>
      <c r="S60" s="30">
        <f t="shared" si="5"/>
        <v>80163</v>
      </c>
      <c r="T60" s="38">
        <v>1448387</v>
      </c>
      <c r="U60" s="38">
        <v>791312</v>
      </c>
      <c r="V60" s="32">
        <f t="shared" si="6"/>
        <v>1.8303614756252906</v>
      </c>
      <c r="W60" s="1"/>
      <c r="X60" s="1"/>
      <c r="Y60" s="1"/>
      <c r="Z60" s="1"/>
    </row>
    <row r="61" spans="1:26" ht="15.75" customHeight="1">
      <c r="A61" s="1"/>
      <c r="B61" s="9" t="s">
        <v>72</v>
      </c>
      <c r="C61" s="6"/>
      <c r="D61" s="6"/>
      <c r="E61" s="6"/>
      <c r="F61" s="30" t="e">
        <f t="shared" si="8"/>
        <v>#DIV/0!</v>
      </c>
      <c r="G61" s="6"/>
      <c r="H61" s="6"/>
      <c r="I61" s="6">
        <v>360</v>
      </c>
      <c r="J61" s="34" t="e">
        <f t="shared" si="1"/>
        <v>#DIV/0!</v>
      </c>
      <c r="K61" s="6"/>
      <c r="L61" s="6"/>
      <c r="M61" s="6"/>
      <c r="N61" s="34" t="e">
        <f t="shared" si="2"/>
        <v>#DIV/0!</v>
      </c>
      <c r="O61" s="34" t="e">
        <f t="shared" si="3"/>
        <v>#DIV/0!</v>
      </c>
      <c r="P61" s="30" t="e">
        <f t="shared" si="4"/>
        <v>#DIV/0!</v>
      </c>
      <c r="Q61" s="6"/>
      <c r="R61" s="6"/>
      <c r="S61" s="30">
        <f t="shared" si="5"/>
        <v>0</v>
      </c>
      <c r="T61" s="6"/>
      <c r="U61" s="6"/>
      <c r="V61" s="32" t="e">
        <f t="shared" si="6"/>
        <v>#DIV/0!</v>
      </c>
      <c r="W61" s="1"/>
      <c r="X61" s="1"/>
      <c r="Y61" s="1"/>
      <c r="Z61" s="1"/>
    </row>
    <row r="62" spans="1:26" ht="15.75" customHeight="1">
      <c r="A62" s="1"/>
      <c r="B62" s="36" t="s">
        <v>73</v>
      </c>
      <c r="C62" s="38">
        <v>28633520</v>
      </c>
      <c r="D62" s="38">
        <v>29974970</v>
      </c>
      <c r="E62" s="38">
        <v>82527597</v>
      </c>
      <c r="F62" s="30">
        <f t="shared" si="8"/>
        <v>-1.6254562701007762E-2</v>
      </c>
      <c r="G62" s="38">
        <v>19752248</v>
      </c>
      <c r="H62" s="38">
        <v>58768879</v>
      </c>
      <c r="I62" s="6">
        <v>360</v>
      </c>
      <c r="J62" s="34">
        <f t="shared" si="1"/>
        <v>120.99617009880347</v>
      </c>
      <c r="K62" s="6">
        <f>8369131+916</f>
        <v>8370047</v>
      </c>
      <c r="L62" s="38">
        <v>2200410</v>
      </c>
      <c r="M62" s="38">
        <v>65920016</v>
      </c>
      <c r="N62" s="34">
        <f t="shared" si="2"/>
        <v>12.016799267767169</v>
      </c>
      <c r="O62" s="34">
        <f t="shared" si="3"/>
        <v>4.0388519117942598</v>
      </c>
      <c r="P62" s="30">
        <f t="shared" si="4"/>
        <v>128.97411745477638</v>
      </c>
      <c r="Q62" s="38">
        <v>40474481</v>
      </c>
      <c r="R62" s="38">
        <v>40202223</v>
      </c>
      <c r="S62" s="30">
        <f t="shared" si="5"/>
        <v>272258</v>
      </c>
      <c r="T62" s="38">
        <v>81659796</v>
      </c>
      <c r="U62" s="38">
        <v>867801</v>
      </c>
      <c r="V62" s="32">
        <f t="shared" si="6"/>
        <v>94.099679534824233</v>
      </c>
      <c r="W62" s="1"/>
      <c r="X62" s="1"/>
      <c r="Y62" s="1"/>
      <c r="Z62" s="1"/>
    </row>
    <row r="63" spans="1:26" ht="15.75" customHeight="1">
      <c r="A63" s="1"/>
      <c r="B63" s="42" t="s">
        <v>74</v>
      </c>
      <c r="C63" s="38">
        <v>589913892673</v>
      </c>
      <c r="D63" s="38">
        <v>513715444072</v>
      </c>
      <c r="E63" s="38">
        <v>859299056455</v>
      </c>
      <c r="F63" s="30">
        <f t="shared" si="8"/>
        <v>8.8675121924785189E-2</v>
      </c>
      <c r="G63" s="38">
        <v>387677204036</v>
      </c>
      <c r="H63" s="38">
        <v>697837557027</v>
      </c>
      <c r="I63" s="6">
        <v>360</v>
      </c>
      <c r="J63" s="34">
        <f t="shared" si="1"/>
        <v>199.99467218064927</v>
      </c>
      <c r="K63" s="38">
        <f>69170960600+7465705713</f>
        <v>76636666313</v>
      </c>
      <c r="L63" s="38">
        <v>53651218597</v>
      </c>
      <c r="M63" s="38">
        <v>795611411050</v>
      </c>
      <c r="N63" s="34">
        <f t="shared" si="2"/>
        <v>24.276221314410222</v>
      </c>
      <c r="O63" s="34">
        <f t="shared" si="3"/>
        <v>13.486430343223232</v>
      </c>
      <c r="P63" s="30">
        <f t="shared" si="4"/>
        <v>210.78446315183629</v>
      </c>
      <c r="Q63" s="38">
        <v>253719803577</v>
      </c>
      <c r="R63" s="38">
        <v>241725872258</v>
      </c>
      <c r="S63" s="30">
        <f t="shared" si="5"/>
        <v>11993931319</v>
      </c>
      <c r="T63" s="38">
        <v>735476711731</v>
      </c>
      <c r="U63" s="38">
        <v>123822344724</v>
      </c>
      <c r="V63" s="32">
        <f t="shared" si="6"/>
        <v>5.939773740921944</v>
      </c>
      <c r="W63" s="1"/>
      <c r="X63" s="1"/>
      <c r="Y63" s="1"/>
      <c r="Z63" s="1"/>
    </row>
    <row r="64" spans="1:26" ht="15.75" customHeight="1">
      <c r="A64" s="1"/>
      <c r="B64" s="13" t="s">
        <v>75</v>
      </c>
      <c r="C64" s="6"/>
      <c r="D64" s="6"/>
      <c r="E64" s="6"/>
      <c r="F64" s="30" t="e">
        <f t="shared" si="8"/>
        <v>#DIV/0!</v>
      </c>
      <c r="G64" s="6"/>
      <c r="H64" s="6"/>
      <c r="I64" s="6">
        <v>360</v>
      </c>
      <c r="J64" s="34" t="e">
        <f t="shared" si="1"/>
        <v>#DIV/0!</v>
      </c>
      <c r="K64" s="6"/>
      <c r="L64" s="6"/>
      <c r="M64" s="6"/>
      <c r="N64" s="34" t="e">
        <f t="shared" si="2"/>
        <v>#DIV/0!</v>
      </c>
      <c r="O64" s="34" t="e">
        <f t="shared" si="3"/>
        <v>#DIV/0!</v>
      </c>
      <c r="P64" s="30" t="e">
        <f t="shared" si="4"/>
        <v>#DIV/0!</v>
      </c>
      <c r="Q64" s="6"/>
      <c r="R64" s="6"/>
      <c r="S64" s="30">
        <f t="shared" si="5"/>
        <v>0</v>
      </c>
      <c r="T64" s="6"/>
      <c r="U64" s="6"/>
      <c r="V64" s="32" t="e">
        <f t="shared" si="6"/>
        <v>#DIV/0!</v>
      </c>
      <c r="W64" s="1"/>
      <c r="X64" s="1"/>
      <c r="Y64" s="1"/>
      <c r="Z64" s="1"/>
    </row>
    <row r="65" spans="1:26" ht="15.75" customHeight="1">
      <c r="A65" s="1"/>
      <c r="B65" s="36" t="s">
        <v>76</v>
      </c>
      <c r="C65" s="38">
        <v>348662337262</v>
      </c>
      <c r="D65" s="38">
        <v>242051192180</v>
      </c>
      <c r="E65" s="38">
        <v>498701656995</v>
      </c>
      <c r="F65" s="30">
        <f t="shared" si="8"/>
        <v>0.21377740295550871</v>
      </c>
      <c r="G65" s="38">
        <v>131015702213</v>
      </c>
      <c r="H65" s="38">
        <v>588935699382</v>
      </c>
      <c r="I65" s="6">
        <v>360</v>
      </c>
      <c r="J65" s="34">
        <f t="shared" si="1"/>
        <v>80.086251939173167</v>
      </c>
      <c r="K65" s="6">
        <f>157173372449+1821362462</f>
        <v>158994734911</v>
      </c>
      <c r="L65" s="6">
        <f>183485698733+8939925782</f>
        <v>192425624515</v>
      </c>
      <c r="M65" s="38">
        <v>708740551637</v>
      </c>
      <c r="N65" s="34">
        <f t="shared" si="2"/>
        <v>97.741302745267632</v>
      </c>
      <c r="O65" s="34">
        <f t="shared" si="3"/>
        <v>21.743707212556949</v>
      </c>
      <c r="P65" s="30">
        <f t="shared" si="4"/>
        <v>156.08384747188384</v>
      </c>
      <c r="Q65" s="38">
        <v>147610455698</v>
      </c>
      <c r="R65" s="38">
        <v>111122445703</v>
      </c>
      <c r="S65" s="30">
        <f t="shared" si="5"/>
        <v>36488009995</v>
      </c>
      <c r="T65" s="38">
        <v>269278833819</v>
      </c>
      <c r="U65" s="38">
        <v>229422823176</v>
      </c>
      <c r="V65" s="32">
        <f t="shared" si="6"/>
        <v>1.1737229543741807</v>
      </c>
      <c r="W65" s="1"/>
      <c r="X65" s="1"/>
      <c r="Y65" s="1"/>
      <c r="Z65" s="1"/>
    </row>
    <row r="66" spans="1:26" ht="15.75" customHeight="1">
      <c r="A66" s="39"/>
      <c r="B66" s="40" t="s">
        <v>77</v>
      </c>
      <c r="C66" s="41"/>
      <c r="D66" s="41"/>
      <c r="E66" s="41"/>
      <c r="F66" s="30" t="e">
        <f t="shared" si="8"/>
        <v>#DIV/0!</v>
      </c>
      <c r="G66" s="41"/>
      <c r="H66" s="41"/>
      <c r="I66" s="6">
        <v>360</v>
      </c>
      <c r="J66" s="34" t="e">
        <f t="shared" si="1"/>
        <v>#DIV/0!</v>
      </c>
      <c r="K66" s="41"/>
      <c r="L66" s="41"/>
      <c r="M66" s="41"/>
      <c r="N66" s="34" t="e">
        <f t="shared" si="2"/>
        <v>#DIV/0!</v>
      </c>
      <c r="O66" s="34" t="e">
        <f t="shared" si="3"/>
        <v>#DIV/0!</v>
      </c>
      <c r="P66" s="30" t="e">
        <f t="shared" si="4"/>
        <v>#DIV/0!</v>
      </c>
      <c r="Q66" s="41"/>
      <c r="R66" s="41"/>
      <c r="S66" s="30">
        <f t="shared" si="5"/>
        <v>0</v>
      </c>
      <c r="T66" s="41"/>
      <c r="U66" s="41"/>
      <c r="V66" s="32" t="e">
        <f t="shared" si="6"/>
        <v>#DIV/0!</v>
      </c>
      <c r="W66" s="39"/>
      <c r="X66" s="39"/>
      <c r="Y66" s="39"/>
      <c r="Z66" s="39"/>
    </row>
    <row r="67" spans="1:26" ht="15.75" customHeight="1">
      <c r="A67" s="1"/>
      <c r="B67" s="36" t="s">
        <v>78</v>
      </c>
      <c r="C67" s="38">
        <v>2784006841253</v>
      </c>
      <c r="D67" s="38">
        <v>3753070066277</v>
      </c>
      <c r="E67" s="38">
        <v>9369891776775</v>
      </c>
      <c r="F67" s="30">
        <f t="shared" si="8"/>
        <v>-0.1034230968842139</v>
      </c>
      <c r="G67" s="38">
        <v>1093924962306</v>
      </c>
      <c r="H67" s="38">
        <v>5923997164012</v>
      </c>
      <c r="I67" s="6">
        <v>360</v>
      </c>
      <c r="J67" s="34">
        <f t="shared" si="1"/>
        <v>66.477578487470439</v>
      </c>
      <c r="K67" s="6">
        <f>1080454765453+723752970</f>
        <v>1081178518423</v>
      </c>
      <c r="L67" s="6">
        <f>1315881239308+27921758274</f>
        <v>1343802997582</v>
      </c>
      <c r="M67" s="38">
        <v>7337185138762</v>
      </c>
      <c r="N67" s="34">
        <f t="shared" si="2"/>
        <v>65.933879271192296</v>
      </c>
      <c r="O67" s="34">
        <f t="shared" si="3"/>
        <v>12.175346206205795</v>
      </c>
      <c r="P67" s="30">
        <f t="shared" si="4"/>
        <v>120.23611155245692</v>
      </c>
      <c r="Q67" s="38">
        <v>6434772710208</v>
      </c>
      <c r="R67" s="38">
        <v>6271722916197</v>
      </c>
      <c r="S67" s="30">
        <f t="shared" si="5"/>
        <v>163049794011</v>
      </c>
      <c r="T67" s="38">
        <v>6081574204386</v>
      </c>
      <c r="U67" s="38">
        <v>3288317572389</v>
      </c>
      <c r="V67" s="32">
        <f t="shared" si="6"/>
        <v>1.8494485616143417</v>
      </c>
      <c r="W67" s="1"/>
      <c r="X67" s="1"/>
      <c r="Y67" s="1"/>
      <c r="Z67" s="1"/>
    </row>
    <row r="68" spans="1:26" ht="15.75" customHeight="1">
      <c r="A68" s="1"/>
      <c r="B68" s="36" t="s">
        <v>79</v>
      </c>
      <c r="C68" s="38">
        <v>3145349</v>
      </c>
      <c r="D68" s="38">
        <v>1502930</v>
      </c>
      <c r="E68" s="38">
        <v>7634236</v>
      </c>
      <c r="F68" s="30">
        <f t="shared" si="8"/>
        <v>0.21513862028891956</v>
      </c>
      <c r="G68" s="38">
        <v>949560</v>
      </c>
      <c r="H68" s="38">
        <v>2224399</v>
      </c>
      <c r="I68" s="6">
        <v>360</v>
      </c>
      <c r="J68" s="34">
        <f t="shared" si="1"/>
        <v>153.67818453433938</v>
      </c>
      <c r="K68" s="6">
        <f>112675+24806</f>
        <v>137481</v>
      </c>
      <c r="L68" s="6">
        <f>265879+603290</f>
        <v>869169</v>
      </c>
      <c r="M68" s="38">
        <v>3127928</v>
      </c>
      <c r="N68" s="34">
        <f t="shared" si="2"/>
        <v>100.03454043699216</v>
      </c>
      <c r="O68" s="34">
        <f t="shared" si="3"/>
        <v>42.703129347455324</v>
      </c>
      <c r="P68" s="30">
        <f t="shared" si="4"/>
        <v>211.00959562387621</v>
      </c>
      <c r="Q68" s="38">
        <v>3835657</v>
      </c>
      <c r="R68" s="38">
        <v>4043525</v>
      </c>
      <c r="S68" s="30">
        <f t="shared" si="5"/>
        <v>-207868</v>
      </c>
      <c r="T68" s="38">
        <v>4416589</v>
      </c>
      <c r="U68" s="38">
        <v>3217647</v>
      </c>
      <c r="V68" s="32">
        <f t="shared" si="6"/>
        <v>1.3726145223512709</v>
      </c>
      <c r="W68" s="1"/>
      <c r="X68" s="1"/>
      <c r="Y68" s="1"/>
      <c r="Z68" s="1"/>
    </row>
    <row r="69" spans="1:26" ht="15.75" customHeight="1">
      <c r="A69" s="1"/>
      <c r="B69" s="36" t="s">
        <v>80</v>
      </c>
      <c r="C69" s="38">
        <v>841180578033</v>
      </c>
      <c r="D69" s="38">
        <v>709035285125</v>
      </c>
      <c r="E69" s="38">
        <v>1328291727616</v>
      </c>
      <c r="F69" s="30">
        <f t="shared" si="8"/>
        <v>9.9485143331557585E-2</v>
      </c>
      <c r="G69" s="38">
        <v>323671583394</v>
      </c>
      <c r="H69" s="38">
        <v>1932476641257</v>
      </c>
      <c r="I69" s="6">
        <v>360</v>
      </c>
      <c r="J69" s="34">
        <f t="shared" si="1"/>
        <v>60.296599469397549</v>
      </c>
      <c r="K69" s="38">
        <v>234221303042</v>
      </c>
      <c r="L69" s="38">
        <v>415080462642</v>
      </c>
      <c r="M69" s="38">
        <v>2245519457754</v>
      </c>
      <c r="N69" s="34">
        <f t="shared" si="2"/>
        <v>66.545389324116982</v>
      </c>
      <c r="O69" s="34">
        <f t="shared" si="3"/>
        <v>11.145724129476125</v>
      </c>
      <c r="P69" s="30">
        <f t="shared" si="4"/>
        <v>115.69626466403841</v>
      </c>
      <c r="Q69" s="38">
        <v>440422767236</v>
      </c>
      <c r="R69" s="38">
        <v>387738747365</v>
      </c>
      <c r="S69" s="30">
        <f t="shared" si="5"/>
        <v>52684019871</v>
      </c>
      <c r="T69" s="38">
        <v>842752226515</v>
      </c>
      <c r="U69" s="38">
        <v>485539501101</v>
      </c>
      <c r="V69" s="32">
        <f t="shared" si="6"/>
        <v>1.7357027072030007</v>
      </c>
      <c r="W69" s="1"/>
      <c r="X69" s="1"/>
      <c r="Y69" s="1"/>
      <c r="Z69" s="1"/>
    </row>
    <row r="70" spans="1:26" ht="15.75" customHeight="1">
      <c r="A70" s="1"/>
      <c r="B70" s="36" t="s">
        <v>81</v>
      </c>
      <c r="C70" s="38">
        <v>107266392534</v>
      </c>
      <c r="D70" s="38">
        <v>318104922819</v>
      </c>
      <c r="E70" s="38">
        <v>1171234610856</v>
      </c>
      <c r="F70" s="30">
        <f t="shared" si="8"/>
        <v>-0.18001391722099819</v>
      </c>
      <c r="G70" s="38">
        <v>12783177957</v>
      </c>
      <c r="H70" s="38">
        <v>179152180936</v>
      </c>
      <c r="I70" s="6">
        <v>360</v>
      </c>
      <c r="J70" s="34">
        <f t="shared" si="1"/>
        <v>25.687346034397372</v>
      </c>
      <c r="K70" s="38">
        <v>80002707712</v>
      </c>
      <c r="L70" s="38">
        <v>58025845081</v>
      </c>
      <c r="M70" s="38">
        <v>144027720203</v>
      </c>
      <c r="N70" s="34">
        <f t="shared" si="2"/>
        <v>145.03669293464864</v>
      </c>
      <c r="O70" s="34">
        <f t="shared" si="3"/>
        <v>10.348910330824879</v>
      </c>
      <c r="P70" s="30">
        <f t="shared" si="4"/>
        <v>160.37512863822113</v>
      </c>
      <c r="Q70" s="38">
        <v>1062719145917</v>
      </c>
      <c r="R70" s="38">
        <v>1102560689720</v>
      </c>
      <c r="S70" s="30">
        <f t="shared" si="5"/>
        <v>-39841543803</v>
      </c>
      <c r="T70" s="38">
        <v>878173162999</v>
      </c>
      <c r="U70" s="38">
        <v>293061447857</v>
      </c>
      <c r="V70" s="32">
        <f t="shared" si="6"/>
        <v>2.9965495953855608</v>
      </c>
      <c r="W70" s="1"/>
      <c r="X70" s="1"/>
      <c r="Y70" s="1"/>
      <c r="Z70" s="1"/>
    </row>
    <row r="71" spans="1:26" ht="15.75" customHeight="1">
      <c r="A71" s="1"/>
      <c r="B71" s="36" t="s">
        <v>82</v>
      </c>
      <c r="C71" s="38">
        <v>705234</v>
      </c>
      <c r="D71" s="38">
        <v>490398</v>
      </c>
      <c r="E71" s="38">
        <v>2580875</v>
      </c>
      <c r="F71" s="30">
        <f t="shared" si="8"/>
        <v>8.3241536300673227E-2</v>
      </c>
      <c r="G71" s="38">
        <v>233569</v>
      </c>
      <c r="H71" s="38">
        <v>902570</v>
      </c>
      <c r="I71" s="6">
        <v>360</v>
      </c>
      <c r="J71" s="34">
        <f t="shared" si="1"/>
        <v>93.161571955637797</v>
      </c>
      <c r="K71" s="6">
        <f>36415+15391</f>
        <v>51806</v>
      </c>
      <c r="L71" s="6">
        <f>99281+16160</f>
        <v>115441</v>
      </c>
      <c r="M71" s="38">
        <v>1011715</v>
      </c>
      <c r="N71" s="34">
        <f t="shared" si="2"/>
        <v>41.077536658050938</v>
      </c>
      <c r="O71" s="34">
        <f t="shared" si="3"/>
        <v>10.630133019803782</v>
      </c>
      <c r="P71" s="30">
        <f t="shared" si="4"/>
        <v>123.60897559388495</v>
      </c>
      <c r="Q71" s="38">
        <v>1099783</v>
      </c>
      <c r="R71" s="38">
        <v>1164010</v>
      </c>
      <c r="S71" s="30">
        <f t="shared" si="5"/>
        <v>-64227</v>
      </c>
      <c r="T71" s="38">
        <v>1584135</v>
      </c>
      <c r="U71" s="38">
        <v>996740</v>
      </c>
      <c r="V71" s="32">
        <f t="shared" si="6"/>
        <v>1.589316170716536</v>
      </c>
      <c r="W71" s="1"/>
      <c r="X71" s="1"/>
      <c r="Y71" s="1"/>
      <c r="Z71" s="1"/>
    </row>
    <row r="72" spans="1:26" ht="15.75" customHeight="1">
      <c r="A72" s="1"/>
      <c r="B72" s="36" t="s">
        <v>83</v>
      </c>
      <c r="C72" s="38">
        <v>750237084349</v>
      </c>
      <c r="D72" s="38">
        <v>733771730418</v>
      </c>
      <c r="E72" s="38">
        <v>2175660855114</v>
      </c>
      <c r="F72" s="30">
        <f t="shared" si="8"/>
        <v>7.5679782040924985E-3</v>
      </c>
      <c r="G72" s="38">
        <v>483134992635</v>
      </c>
      <c r="H72" s="38">
        <v>1777790483983</v>
      </c>
      <c r="I72" s="6">
        <v>360</v>
      </c>
      <c r="J72" s="34">
        <f t="shared" si="1"/>
        <v>97.834136764489045</v>
      </c>
      <c r="K72" s="38">
        <v>62025367892</v>
      </c>
      <c r="L72" s="6">
        <f>111596481909+114073668</f>
        <v>111710555577</v>
      </c>
      <c r="M72" s="38">
        <v>2093137904266</v>
      </c>
      <c r="N72" s="34">
        <f t="shared" si="2"/>
        <v>19.213163129747279</v>
      </c>
      <c r="O72" s="34">
        <f t="shared" si="3"/>
        <v>5.2213978592059274</v>
      </c>
      <c r="P72" s="30">
        <f t="shared" si="4"/>
        <v>111.8259020350304</v>
      </c>
      <c r="Q72" s="38">
        <v>1393421919181</v>
      </c>
      <c r="R72" s="38">
        <v>1430164650247</v>
      </c>
      <c r="S72" s="30">
        <f t="shared" si="5"/>
        <v>-36742731066</v>
      </c>
      <c r="T72" s="38">
        <v>980123282608</v>
      </c>
      <c r="U72" s="38">
        <v>1172195335156</v>
      </c>
      <c r="V72" s="32">
        <f t="shared" si="6"/>
        <v>0.83614330582330942</v>
      </c>
      <c r="W72" s="1"/>
      <c r="X72" s="1"/>
      <c r="Y72" s="1"/>
      <c r="Z72" s="1"/>
    </row>
    <row r="73" spans="1:26" ht="15.75" customHeight="1">
      <c r="A73" s="1"/>
      <c r="B73" s="36" t="s">
        <v>84</v>
      </c>
      <c r="C73" s="38">
        <v>41239</v>
      </c>
      <c r="D73" s="38">
        <v>27582</v>
      </c>
      <c r="E73" s="38">
        <v>337585</v>
      </c>
      <c r="F73" s="30">
        <f t="shared" si="8"/>
        <v>4.0454996519395117E-2</v>
      </c>
      <c r="G73" s="38">
        <v>25505</v>
      </c>
      <c r="H73" s="38">
        <v>107747</v>
      </c>
      <c r="I73" s="6">
        <v>360</v>
      </c>
      <c r="J73" s="34">
        <f t="shared" si="1"/>
        <v>85.216293725115321</v>
      </c>
      <c r="K73" s="6">
        <f>191+8515</f>
        <v>8706</v>
      </c>
      <c r="L73" s="6">
        <f>114+1840</f>
        <v>1954</v>
      </c>
      <c r="M73" s="38">
        <v>123865</v>
      </c>
      <c r="N73" s="34">
        <f t="shared" si="2"/>
        <v>5.6790861018043834</v>
      </c>
      <c r="O73" s="34">
        <f t="shared" si="3"/>
        <v>1.3443074148377292</v>
      </c>
      <c r="P73" s="30">
        <f t="shared" si="4"/>
        <v>89.551072412081979</v>
      </c>
      <c r="Q73" s="38">
        <v>178496</v>
      </c>
      <c r="R73" s="38">
        <v>182443</v>
      </c>
      <c r="S73" s="30">
        <f t="shared" si="5"/>
        <v>-3947</v>
      </c>
      <c r="T73" s="38">
        <v>174769</v>
      </c>
      <c r="U73" s="38">
        <v>162816</v>
      </c>
      <c r="V73" s="32">
        <f t="shared" si="6"/>
        <v>1.0734141607704402</v>
      </c>
      <c r="W73" s="1"/>
      <c r="X73" s="1"/>
      <c r="Y73" s="1"/>
      <c r="Z73" s="1"/>
    </row>
    <row r="74" spans="1:26" ht="15.75" customHeight="1">
      <c r="A74" s="1"/>
      <c r="B74" s="14"/>
      <c r="C74" s="15"/>
      <c r="D74" s="15"/>
      <c r="E74" s="15"/>
      <c r="F74" s="30" t="e">
        <f t="shared" si="8"/>
        <v>#DIV/0!</v>
      </c>
      <c r="G74" s="15"/>
      <c r="H74" s="15"/>
      <c r="I74" s="6">
        <v>360</v>
      </c>
      <c r="J74" s="34" t="e">
        <f t="shared" si="1"/>
        <v>#DIV/0!</v>
      </c>
      <c r="K74" s="15"/>
      <c r="L74" s="15"/>
      <c r="M74" s="15"/>
      <c r="N74" s="34" t="e">
        <f t="shared" si="2"/>
        <v>#DIV/0!</v>
      </c>
      <c r="O74" s="34" t="e">
        <f t="shared" si="3"/>
        <v>#DIV/0!</v>
      </c>
      <c r="P74" s="30" t="e">
        <f t="shared" si="4"/>
        <v>#DIV/0!</v>
      </c>
      <c r="Q74" s="15"/>
      <c r="R74" s="15"/>
      <c r="S74" s="30">
        <f t="shared" si="5"/>
        <v>0</v>
      </c>
      <c r="T74" s="15"/>
      <c r="U74" s="15"/>
      <c r="V74" s="32" t="e">
        <f t="shared" si="6"/>
        <v>#DIV/0!</v>
      </c>
      <c r="W74" s="1"/>
      <c r="X74" s="1"/>
      <c r="Y74" s="1"/>
      <c r="Z74" s="1"/>
    </row>
    <row r="75" spans="1:26" ht="15.75" customHeight="1">
      <c r="A75" s="1"/>
      <c r="B75" s="17"/>
      <c r="C75" s="18"/>
      <c r="D75" s="18"/>
      <c r="E75" s="18"/>
      <c r="F75" s="30" t="e">
        <f t="shared" si="8"/>
        <v>#DIV/0!</v>
      </c>
      <c r="G75" s="18"/>
      <c r="H75" s="18"/>
      <c r="I75" s="6">
        <v>360</v>
      </c>
      <c r="J75" s="34" t="e">
        <f t="shared" si="1"/>
        <v>#DIV/0!</v>
      </c>
      <c r="K75" s="18"/>
      <c r="L75" s="18"/>
      <c r="M75" s="18"/>
      <c r="N75" s="34" t="e">
        <f t="shared" si="2"/>
        <v>#DIV/0!</v>
      </c>
      <c r="O75" s="34" t="e">
        <f t="shared" si="3"/>
        <v>#DIV/0!</v>
      </c>
      <c r="P75" s="30" t="e">
        <f t="shared" si="4"/>
        <v>#DIV/0!</v>
      </c>
      <c r="Q75" s="18"/>
      <c r="R75" s="18"/>
      <c r="S75" s="30">
        <f t="shared" si="5"/>
        <v>0</v>
      </c>
      <c r="T75" s="18"/>
      <c r="U75" s="18"/>
      <c r="V75" s="32" t="e">
        <f t="shared" si="6"/>
        <v>#DIV/0!</v>
      </c>
      <c r="W75" s="1"/>
      <c r="X75" s="1"/>
      <c r="Y75" s="1"/>
      <c r="Z75" s="1"/>
    </row>
    <row r="76" spans="1:26" ht="15.75" customHeight="1">
      <c r="A76" s="1"/>
      <c r="B76" s="20" t="s">
        <v>85</v>
      </c>
      <c r="C76" s="6"/>
      <c r="D76" s="6"/>
      <c r="E76" s="6"/>
      <c r="F76" s="30" t="e">
        <f t="shared" si="8"/>
        <v>#DIV/0!</v>
      </c>
      <c r="G76" s="6"/>
      <c r="H76" s="6"/>
      <c r="I76" s="6">
        <v>360</v>
      </c>
      <c r="J76" s="34" t="e">
        <f t="shared" si="1"/>
        <v>#DIV/0!</v>
      </c>
      <c r="K76" s="6"/>
      <c r="L76" s="6"/>
      <c r="M76" s="6"/>
      <c r="N76" s="34" t="e">
        <f t="shared" si="2"/>
        <v>#DIV/0!</v>
      </c>
      <c r="O76" s="34" t="e">
        <f t="shared" si="3"/>
        <v>#DIV/0!</v>
      </c>
      <c r="P76" s="30" t="e">
        <f t="shared" si="4"/>
        <v>#DIV/0!</v>
      </c>
      <c r="Q76" s="6"/>
      <c r="R76" s="6"/>
      <c r="S76" s="30">
        <f t="shared" si="5"/>
        <v>0</v>
      </c>
      <c r="T76" s="6"/>
      <c r="U76" s="6"/>
      <c r="V76" s="32" t="e">
        <f t="shared" si="6"/>
        <v>#DIV/0!</v>
      </c>
      <c r="W76" s="1"/>
      <c r="X76" s="1"/>
      <c r="Y76" s="1"/>
      <c r="Z76" s="1"/>
    </row>
    <row r="77" spans="1:26" ht="15.75" customHeight="1">
      <c r="A77" s="1"/>
      <c r="B77" s="12" t="s">
        <v>86</v>
      </c>
      <c r="C77" s="6"/>
      <c r="D77" s="6"/>
      <c r="E77" s="6"/>
      <c r="F77" s="30" t="e">
        <f t="shared" si="8"/>
        <v>#DIV/0!</v>
      </c>
      <c r="G77" s="6"/>
      <c r="H77" s="6"/>
      <c r="I77" s="6">
        <v>360</v>
      </c>
      <c r="J77" s="34" t="e">
        <f t="shared" si="1"/>
        <v>#DIV/0!</v>
      </c>
      <c r="K77" s="6"/>
      <c r="L77" s="6"/>
      <c r="M77" s="6"/>
      <c r="N77" s="34" t="e">
        <f t="shared" si="2"/>
        <v>#DIV/0!</v>
      </c>
      <c r="O77" s="34" t="e">
        <f t="shared" si="3"/>
        <v>#DIV/0!</v>
      </c>
      <c r="P77" s="30" t="e">
        <f t="shared" si="4"/>
        <v>#DIV/0!</v>
      </c>
      <c r="Q77" s="6"/>
      <c r="R77" s="6"/>
      <c r="S77" s="30">
        <f t="shared" si="5"/>
        <v>0</v>
      </c>
      <c r="T77" s="6"/>
      <c r="U77" s="6"/>
      <c r="V77" s="32" t="e">
        <f t="shared" si="6"/>
        <v>#DIV/0!</v>
      </c>
      <c r="W77" s="1"/>
      <c r="X77" s="1"/>
      <c r="Y77" s="1"/>
      <c r="Z77" s="1"/>
    </row>
    <row r="78" spans="1:26" ht="15.75" customHeight="1">
      <c r="A78" s="1"/>
      <c r="B78" s="36" t="s">
        <v>87</v>
      </c>
      <c r="C78" s="38">
        <v>469101177938</v>
      </c>
      <c r="D78" s="38">
        <v>463401644222</v>
      </c>
      <c r="E78" s="38">
        <v>645953214546</v>
      </c>
      <c r="F78" s="30">
        <f t="shared" si="8"/>
        <v>8.8234466330597092E-3</v>
      </c>
      <c r="G78" s="38">
        <v>390163369810</v>
      </c>
      <c r="H78" s="38">
        <v>217617829024</v>
      </c>
      <c r="I78" s="6">
        <v>360</v>
      </c>
      <c r="J78" s="34">
        <f t="shared" si="1"/>
        <v>645.43798530454728</v>
      </c>
      <c r="K78" s="38">
        <v>143557258076</v>
      </c>
      <c r="L78" s="38">
        <v>60745424392</v>
      </c>
      <c r="M78" s="38">
        <v>263264762260</v>
      </c>
      <c r="N78" s="34">
        <f t="shared" si="2"/>
        <v>83.0660077459316</v>
      </c>
      <c r="O78" s="34">
        <f t="shared" si="3"/>
        <v>148.92765746340558</v>
      </c>
      <c r="P78" s="30">
        <f t="shared" si="4"/>
        <v>579.57633558707334</v>
      </c>
      <c r="Q78" s="38">
        <v>145926561215</v>
      </c>
      <c r="R78" s="38">
        <v>157140120337</v>
      </c>
      <c r="S78" s="30">
        <f t="shared" si="5"/>
        <v>-11213559122</v>
      </c>
      <c r="T78" s="38">
        <v>520550572402</v>
      </c>
      <c r="U78" s="38">
        <v>125402642144</v>
      </c>
      <c r="V78" s="32">
        <f t="shared" si="6"/>
        <v>4.1510335308904507</v>
      </c>
      <c r="W78" s="1"/>
      <c r="X78" s="1"/>
      <c r="Y78" s="1"/>
      <c r="Z78" s="1"/>
    </row>
    <row r="79" spans="1:26" ht="15.75" customHeight="1">
      <c r="A79" s="1"/>
      <c r="B79" s="12" t="s">
        <v>88</v>
      </c>
      <c r="C79" s="6"/>
      <c r="D79" s="6"/>
      <c r="E79" s="6"/>
      <c r="F79" s="30" t="e">
        <f t="shared" si="8"/>
        <v>#DIV/0!</v>
      </c>
      <c r="G79" s="6"/>
      <c r="H79" s="6"/>
      <c r="I79" s="6">
        <v>360</v>
      </c>
      <c r="J79" s="34" t="e">
        <f t="shared" si="1"/>
        <v>#DIV/0!</v>
      </c>
      <c r="K79" s="6"/>
      <c r="L79" s="6"/>
      <c r="M79" s="6"/>
      <c r="N79" s="34" t="e">
        <f t="shared" si="2"/>
        <v>#DIV/0!</v>
      </c>
      <c r="O79" s="34" t="e">
        <f t="shared" si="3"/>
        <v>#DIV/0!</v>
      </c>
      <c r="P79" s="30" t="e">
        <f t="shared" si="4"/>
        <v>#DIV/0!</v>
      </c>
      <c r="Q79" s="6"/>
      <c r="R79" s="6"/>
      <c r="S79" s="30">
        <f t="shared" si="5"/>
        <v>0</v>
      </c>
      <c r="T79" s="6"/>
      <c r="U79" s="6"/>
      <c r="V79" s="32" t="e">
        <f t="shared" si="6"/>
        <v>#DIV/0!</v>
      </c>
      <c r="W79" s="1"/>
      <c r="X79" s="1"/>
      <c r="Y79" s="1"/>
      <c r="Z79" s="1"/>
    </row>
    <row r="80" spans="1:26" ht="15.75" customHeight="1">
      <c r="A80" s="1"/>
      <c r="B80" s="36" t="s">
        <v>89</v>
      </c>
      <c r="C80" s="38">
        <v>121293</v>
      </c>
      <c r="D80" s="38">
        <v>98722</v>
      </c>
      <c r="E80" s="38">
        <v>295646</v>
      </c>
      <c r="F80" s="30">
        <f t="shared" si="8"/>
        <v>7.6344682491899102E-2</v>
      </c>
      <c r="G80" s="38">
        <v>19504</v>
      </c>
      <c r="H80" s="38">
        <v>163689</v>
      </c>
      <c r="I80" s="6">
        <v>360</v>
      </c>
      <c r="J80" s="34">
        <f t="shared" si="1"/>
        <v>42.895002107655372</v>
      </c>
      <c r="K80" s="6">
        <f>3708+25760</f>
        <v>29468</v>
      </c>
      <c r="L80" s="6">
        <f>1566+23785</f>
        <v>25351</v>
      </c>
      <c r="M80" s="38">
        <v>206057</v>
      </c>
      <c r="N80" s="34">
        <f t="shared" si="2"/>
        <v>44.290463318402189</v>
      </c>
      <c r="O80" s="34">
        <f t="shared" si="3"/>
        <v>5.277331992755264</v>
      </c>
      <c r="P80" s="30">
        <f t="shared" si="4"/>
        <v>81.908133433302297</v>
      </c>
      <c r="Q80" s="38">
        <v>48402</v>
      </c>
      <c r="R80" s="38">
        <v>43237</v>
      </c>
      <c r="S80" s="30">
        <f t="shared" si="5"/>
        <v>5165</v>
      </c>
      <c r="T80" s="38">
        <v>139317</v>
      </c>
      <c r="U80" s="38">
        <v>156329</v>
      </c>
      <c r="V80" s="32">
        <f t="shared" si="6"/>
        <v>0.89117822029182048</v>
      </c>
      <c r="W80" s="1"/>
      <c r="X80" s="1"/>
      <c r="Y80" s="1"/>
      <c r="Z80" s="1"/>
    </row>
    <row r="81" spans="1:26" ht="15.75" customHeight="1">
      <c r="A81" s="1"/>
      <c r="B81" s="36" t="s">
        <v>90</v>
      </c>
      <c r="C81" s="38">
        <v>5228541</v>
      </c>
      <c r="D81" s="38">
        <v>3041502</v>
      </c>
      <c r="E81" s="38">
        <v>14762309</v>
      </c>
      <c r="F81" s="30">
        <f t="shared" si="8"/>
        <v>0.14815019791280618</v>
      </c>
      <c r="G81" s="38">
        <v>2168781</v>
      </c>
      <c r="H81" s="38">
        <v>11793778</v>
      </c>
      <c r="I81" s="6">
        <v>360</v>
      </c>
      <c r="J81" s="34">
        <f t="shared" si="1"/>
        <v>66.201107058314989</v>
      </c>
      <c r="K81" s="6">
        <f>1317815+379715</f>
        <v>1697530</v>
      </c>
      <c r="L81" s="6">
        <f>1258363+566556</f>
        <v>1824919</v>
      </c>
      <c r="M81" s="38">
        <v>13549857</v>
      </c>
      <c r="N81" s="34">
        <f t="shared" si="2"/>
        <v>48.485444532735656</v>
      </c>
      <c r="O81" s="34">
        <f t="shared" si="3"/>
        <v>8.9160836230045177</v>
      </c>
      <c r="P81" s="30">
        <f t="shared" si="4"/>
        <v>105.77046796804612</v>
      </c>
      <c r="Q81" s="38">
        <v>3526867</v>
      </c>
      <c r="R81" s="38">
        <v>3599815</v>
      </c>
      <c r="S81" s="30">
        <f t="shared" si="5"/>
        <v>-72948</v>
      </c>
      <c r="T81" s="38">
        <v>4003233</v>
      </c>
      <c r="U81" s="38">
        <v>10759076</v>
      </c>
      <c r="V81" s="32">
        <f t="shared" si="6"/>
        <v>0.37207962839931608</v>
      </c>
      <c r="W81" s="1"/>
      <c r="X81" s="1"/>
      <c r="Y81" s="1"/>
      <c r="Z81" s="1"/>
    </row>
    <row r="82" spans="1:26" ht="15.75" customHeight="1">
      <c r="A82" s="1"/>
      <c r="B82" s="36" t="s">
        <v>91</v>
      </c>
      <c r="C82" s="38">
        <v>7168378</v>
      </c>
      <c r="D82" s="38">
        <v>4397957</v>
      </c>
      <c r="E82" s="38">
        <v>18191176</v>
      </c>
      <c r="F82" s="30">
        <f t="shared" si="8"/>
        <v>0.15229477192678473</v>
      </c>
      <c r="G82" s="38">
        <v>2526513</v>
      </c>
      <c r="H82" s="38">
        <v>11682799</v>
      </c>
      <c r="I82" s="6">
        <v>360</v>
      </c>
      <c r="J82" s="34">
        <f t="shared" si="1"/>
        <v>77.853319225983441</v>
      </c>
      <c r="K82" s="6">
        <f>237672+1529015</f>
        <v>1766687</v>
      </c>
      <c r="L82" s="6">
        <f>1112992+1657073</f>
        <v>2770065</v>
      </c>
      <c r="M82" s="38">
        <v>14146918</v>
      </c>
      <c r="N82" s="34">
        <f t="shared" si="2"/>
        <v>70.490505423160002</v>
      </c>
      <c r="O82" s="34">
        <f t="shared" si="3"/>
        <v>15.244221725306092</v>
      </c>
      <c r="P82" s="30">
        <f t="shared" si="4"/>
        <v>133.09960292383735</v>
      </c>
      <c r="Q82" s="38">
        <v>8900168</v>
      </c>
      <c r="R82" s="38">
        <v>9130997</v>
      </c>
      <c r="S82" s="30">
        <f t="shared" si="5"/>
        <v>-230829</v>
      </c>
      <c r="T82" s="38">
        <v>12501710</v>
      </c>
      <c r="U82" s="38">
        <v>5689466</v>
      </c>
      <c r="V82" s="32">
        <f t="shared" si="6"/>
        <v>2.1973433007596848</v>
      </c>
      <c r="W82" s="1"/>
      <c r="X82" s="1"/>
      <c r="Y82" s="1"/>
      <c r="Z82" s="1"/>
    </row>
    <row r="83" spans="1:26" ht="15.75" customHeight="1">
      <c r="A83" s="1"/>
      <c r="B83" s="36" t="s">
        <v>92</v>
      </c>
      <c r="C83" s="38">
        <v>116542599</v>
      </c>
      <c r="D83" s="38">
        <v>48785810</v>
      </c>
      <c r="E83" s="38">
        <v>304483626</v>
      </c>
      <c r="F83" s="30">
        <f t="shared" si="8"/>
        <v>0.2225301566790984</v>
      </c>
      <c r="G83" s="38">
        <v>61296731</v>
      </c>
      <c r="H83" s="38">
        <v>195030073</v>
      </c>
      <c r="I83" s="6">
        <v>360</v>
      </c>
      <c r="J83" s="34">
        <f t="shared" si="1"/>
        <v>113.14574629729026</v>
      </c>
      <c r="K83" s="6">
        <f>34540286+1934707</f>
        <v>36474993</v>
      </c>
      <c r="L83" s="6">
        <f>38070956+3210411</f>
        <v>41281367</v>
      </c>
      <c r="M83" s="38">
        <v>241782757</v>
      </c>
      <c r="N83" s="34">
        <f t="shared" si="2"/>
        <v>61.465475472264558</v>
      </c>
      <c r="O83" s="34">
        <f t="shared" si="3"/>
        <v>19.318214149519896</v>
      </c>
      <c r="P83" s="30">
        <f t="shared" si="4"/>
        <v>155.29300762003493</v>
      </c>
      <c r="Q83" s="38">
        <v>234799</v>
      </c>
      <c r="R83" s="38">
        <v>1391679</v>
      </c>
      <c r="S83" s="30">
        <f t="shared" si="5"/>
        <v>-1156880</v>
      </c>
      <c r="T83" s="38">
        <v>87414272</v>
      </c>
      <c r="U83" s="38">
        <v>217069354</v>
      </c>
      <c r="V83" s="32">
        <f t="shared" si="6"/>
        <v>0.40270204148670385</v>
      </c>
      <c r="W83" s="1"/>
      <c r="X83" s="1"/>
      <c r="Y83" s="1"/>
      <c r="Z83" s="1"/>
    </row>
    <row r="84" spans="1:26" ht="15.75" customHeight="1">
      <c r="A84" s="1"/>
      <c r="B84" s="36" t="s">
        <v>93</v>
      </c>
      <c r="C84" s="38">
        <v>13207228569571</v>
      </c>
      <c r="D84" s="38">
        <v>15765338395006</v>
      </c>
      <c r="E84" s="38">
        <v>31375311299854</v>
      </c>
      <c r="F84" s="30">
        <f t="shared" si="8"/>
        <v>-8.1532571931705544E-2</v>
      </c>
      <c r="G84" s="38">
        <v>2555441043722</v>
      </c>
      <c r="H84" s="38">
        <v>12289878787017</v>
      </c>
      <c r="I84" s="6">
        <v>360</v>
      </c>
      <c r="J84" s="34">
        <f t="shared" si="1"/>
        <v>74.854991793064912</v>
      </c>
      <c r="K84" s="6">
        <f>742687658497+1310097195077</f>
        <v>2052784853574</v>
      </c>
      <c r="L84" s="6">
        <f>400864292938+1725816888172</f>
        <v>2126681181110</v>
      </c>
      <c r="M84" s="38">
        <v>15359437288255</v>
      </c>
      <c r="N84" s="34">
        <f t="shared" si="2"/>
        <v>49.845916281388789</v>
      </c>
      <c r="O84" s="34">
        <f t="shared" si="3"/>
        <v>10.36448792822544</v>
      </c>
      <c r="P84" s="30">
        <f t="shared" si="4"/>
        <v>114.33642014622826</v>
      </c>
      <c r="Q84" s="38">
        <v>4638599448700</v>
      </c>
      <c r="R84" s="38">
        <v>3864989875127</v>
      </c>
      <c r="S84" s="30">
        <f t="shared" si="5"/>
        <v>773609573573</v>
      </c>
      <c r="T84" s="38">
        <v>22094058955142</v>
      </c>
      <c r="U84" s="38">
        <v>9281252344712</v>
      </c>
      <c r="V84" s="32">
        <f t="shared" si="6"/>
        <v>2.3805040671833586</v>
      </c>
      <c r="W84" s="1"/>
      <c r="X84" s="1"/>
      <c r="Y84" s="1"/>
      <c r="Z84" s="1"/>
    </row>
    <row r="85" spans="1:26" ht="15.75" customHeight="1">
      <c r="A85" s="1"/>
      <c r="B85" s="36" t="s">
        <v>94</v>
      </c>
      <c r="C85" s="38">
        <v>1044177985635</v>
      </c>
      <c r="D85" s="38">
        <v>203724817070</v>
      </c>
      <c r="E85" s="38">
        <v>2434617337849</v>
      </c>
      <c r="F85" s="30">
        <f t="shared" si="8"/>
        <v>0.34520955531662556</v>
      </c>
      <c r="G85" s="38">
        <v>358303759533</v>
      </c>
      <c r="H85" s="38">
        <v>1586466831193</v>
      </c>
      <c r="I85" s="6">
        <v>360</v>
      </c>
      <c r="J85" s="34">
        <f t="shared" si="1"/>
        <v>81.306051217523319</v>
      </c>
      <c r="K85" s="6">
        <f>63542095622+56390852814</f>
        <v>119932948436</v>
      </c>
      <c r="L85" s="6">
        <f>331613321002+18406957332</f>
        <v>350020278334</v>
      </c>
      <c r="M85" s="38">
        <v>1967982902772</v>
      </c>
      <c r="N85" s="34">
        <f t="shared" si="2"/>
        <v>64.028655951610446</v>
      </c>
      <c r="O85" s="34">
        <f t="shared" si="3"/>
        <v>14.460881056085606</v>
      </c>
      <c r="P85" s="30">
        <f t="shared" si="4"/>
        <v>130.87382611304815</v>
      </c>
      <c r="Q85" s="38">
        <v>1238823067843</v>
      </c>
      <c r="R85" s="38">
        <v>1361197258506</v>
      </c>
      <c r="S85" s="30">
        <f t="shared" si="5"/>
        <v>-122374190663</v>
      </c>
      <c r="T85" s="38">
        <v>289798419319</v>
      </c>
      <c r="U85" s="38">
        <v>2144818918530</v>
      </c>
      <c r="V85" s="32">
        <f t="shared" si="6"/>
        <v>0.13511556468255131</v>
      </c>
      <c r="W85" s="1"/>
      <c r="X85" s="1"/>
      <c r="Y85" s="1"/>
      <c r="Z85" s="1"/>
    </row>
    <row r="86" spans="1:26" ht="15.75" customHeight="1">
      <c r="A86" s="1"/>
      <c r="B86" s="36" t="s">
        <v>95</v>
      </c>
      <c r="C86" s="38">
        <v>133470797422</v>
      </c>
      <c r="D86" s="38">
        <v>25635299203</v>
      </c>
      <c r="E86" s="38">
        <v>268116498330</v>
      </c>
      <c r="F86" s="30">
        <f t="shared" si="8"/>
        <v>0.4021964291293823</v>
      </c>
      <c r="G86" s="38">
        <v>39845465230</v>
      </c>
      <c r="H86" s="38">
        <v>77203138724</v>
      </c>
      <c r="I86" s="6">
        <v>360</v>
      </c>
      <c r="J86" s="34">
        <f t="shared" si="1"/>
        <v>185.80031485612116</v>
      </c>
      <c r="K86" s="38">
        <v>14686126311</v>
      </c>
      <c r="L86" s="38">
        <v>24170705935</v>
      </c>
      <c r="M86" s="38">
        <v>102949173758</v>
      </c>
      <c r="N86" s="34">
        <f t="shared" si="2"/>
        <v>84.521845285075202</v>
      </c>
      <c r="O86" s="34">
        <f t="shared" si="3"/>
        <v>43.622737406075927</v>
      </c>
      <c r="P86" s="30">
        <f t="shared" si="4"/>
        <v>226.69942273512044</v>
      </c>
      <c r="Q86" s="38">
        <v>5603518132</v>
      </c>
      <c r="R86" s="38">
        <v>136748543809</v>
      </c>
      <c r="S86" s="30">
        <f t="shared" si="5"/>
        <v>-131145025677</v>
      </c>
      <c r="T86" s="38">
        <v>36654665747</v>
      </c>
      <c r="U86" s="38">
        <v>231461832583</v>
      </c>
      <c r="V86" s="32">
        <f t="shared" si="6"/>
        <v>0.15836159827282101</v>
      </c>
      <c r="W86" s="1"/>
      <c r="X86" s="1"/>
      <c r="Y86" s="1"/>
      <c r="Z86" s="1"/>
    </row>
    <row r="87" spans="1:26" ht="15.75" customHeight="1">
      <c r="A87" s="1"/>
      <c r="B87" s="36" t="s">
        <v>96</v>
      </c>
      <c r="C87" s="38">
        <v>172415901</v>
      </c>
      <c r="D87" s="38">
        <v>181521327</v>
      </c>
      <c r="E87" s="38">
        <v>657608837</v>
      </c>
      <c r="F87" s="30">
        <f t="shared" si="8"/>
        <v>-1.3846264660217758E-2</v>
      </c>
      <c r="G87" s="38">
        <v>83454066</v>
      </c>
      <c r="H87" s="38">
        <v>245662093</v>
      </c>
      <c r="I87" s="6">
        <v>360</v>
      </c>
      <c r="J87" s="34">
        <f t="shared" si="1"/>
        <v>122.29588779087703</v>
      </c>
      <c r="K87" s="38">
        <v>77648128</v>
      </c>
      <c r="L87" s="6">
        <f>3217129+3104299</f>
        <v>6321428</v>
      </c>
      <c r="M87" s="38">
        <v>280974817</v>
      </c>
      <c r="N87" s="34">
        <f t="shared" si="2"/>
        <v>8.0993524768449259</v>
      </c>
      <c r="O87" s="34">
        <f t="shared" si="3"/>
        <v>2.7514375046860806</v>
      </c>
      <c r="P87" s="30">
        <f t="shared" si="4"/>
        <v>127.64380276303588</v>
      </c>
      <c r="Q87" s="38">
        <v>439790654</v>
      </c>
      <c r="R87" s="38">
        <v>407713491</v>
      </c>
      <c r="S87" s="30">
        <f t="shared" si="5"/>
        <v>32077163</v>
      </c>
      <c r="T87" s="38">
        <v>320614779</v>
      </c>
      <c r="U87" s="38">
        <v>336994058</v>
      </c>
      <c r="V87" s="32">
        <f t="shared" si="6"/>
        <v>0.95139594123051274</v>
      </c>
      <c r="W87" s="1"/>
      <c r="X87" s="1"/>
      <c r="Y87" s="1"/>
      <c r="Z87" s="1"/>
    </row>
    <row r="88" spans="1:26" ht="15.75" customHeight="1">
      <c r="A88" s="1"/>
      <c r="B88" s="36" t="s">
        <v>97</v>
      </c>
      <c r="C88" s="38">
        <v>925814248</v>
      </c>
      <c r="D88" s="38">
        <v>788823821</v>
      </c>
      <c r="E88" s="38">
        <v>1897926447</v>
      </c>
      <c r="F88" s="30">
        <f t="shared" si="8"/>
        <v>7.217899682916426E-2</v>
      </c>
      <c r="G88" s="38">
        <v>270221599</v>
      </c>
      <c r="H88" s="38">
        <v>909634269</v>
      </c>
      <c r="I88" s="6">
        <v>360</v>
      </c>
      <c r="J88" s="34">
        <f t="shared" si="1"/>
        <v>106.94383331329836</v>
      </c>
      <c r="K88" s="38">
        <v>278078819</v>
      </c>
      <c r="L88" s="38">
        <v>343155072</v>
      </c>
      <c r="M88" s="38">
        <v>1077046664</v>
      </c>
      <c r="N88" s="34">
        <f t="shared" si="2"/>
        <v>114.69867559981597</v>
      </c>
      <c r="O88" s="34">
        <f t="shared" si="3"/>
        <v>34.073100123896666</v>
      </c>
      <c r="P88" s="30">
        <f t="shared" si="4"/>
        <v>187.56940878921768</v>
      </c>
      <c r="Q88" s="38">
        <v>685961944</v>
      </c>
      <c r="R88" s="38">
        <v>681451421</v>
      </c>
      <c r="S88" s="30">
        <f t="shared" si="5"/>
        <v>4510523</v>
      </c>
      <c r="T88" s="38">
        <v>1018449877</v>
      </c>
      <c r="U88" s="38">
        <v>879512570</v>
      </c>
      <c r="V88" s="32">
        <f t="shared" si="6"/>
        <v>1.1579708030778912</v>
      </c>
      <c r="W88" s="1"/>
      <c r="X88" s="1"/>
      <c r="Y88" s="1"/>
      <c r="Z88" s="1"/>
    </row>
    <row r="89" spans="1:26" ht="15.75" customHeight="1">
      <c r="A89" s="1"/>
      <c r="B89" s="36" t="s">
        <v>98</v>
      </c>
      <c r="C89" s="38">
        <v>622230971388</v>
      </c>
      <c r="D89" s="38">
        <v>650095154148</v>
      </c>
      <c r="E89" s="38">
        <v>1542243721302</v>
      </c>
      <c r="F89" s="30">
        <f t="shared" si="8"/>
        <v>-1.8067301798756149E-2</v>
      </c>
      <c r="G89" s="38">
        <v>227427522708</v>
      </c>
      <c r="H89" s="38">
        <v>273396340279</v>
      </c>
      <c r="I89" s="6">
        <v>360</v>
      </c>
      <c r="J89" s="34">
        <f t="shared" si="1"/>
        <v>299.46965673105927</v>
      </c>
      <c r="K89" s="38">
        <v>45574430053</v>
      </c>
      <c r="L89" s="38">
        <v>66272222280</v>
      </c>
      <c r="M89" s="38">
        <v>348471154143</v>
      </c>
      <c r="N89" s="34">
        <f t="shared" si="2"/>
        <v>68.464777463357947</v>
      </c>
      <c r="O89" s="34">
        <f t="shared" si="3"/>
        <v>56.953120569778243</v>
      </c>
      <c r="P89" s="30">
        <f t="shared" si="4"/>
        <v>310.98131362463897</v>
      </c>
      <c r="Q89" s="38">
        <v>863440136518</v>
      </c>
      <c r="R89" s="38">
        <v>897063812295</v>
      </c>
      <c r="S89" s="30">
        <f t="shared" si="5"/>
        <v>-33623675777</v>
      </c>
      <c r="T89" s="38">
        <v>865838417894</v>
      </c>
      <c r="U89" s="38">
        <v>676405303408</v>
      </c>
      <c r="V89" s="32">
        <f t="shared" si="6"/>
        <v>1.2800585884403335</v>
      </c>
      <c r="W89" s="1"/>
      <c r="X89" s="1"/>
      <c r="Y89" s="1"/>
      <c r="Z89" s="1"/>
    </row>
    <row r="90" spans="1:26" ht="15.75" customHeight="1">
      <c r="A90" s="1"/>
      <c r="B90" s="36" t="s">
        <v>99</v>
      </c>
      <c r="C90" s="38">
        <v>1570110</v>
      </c>
      <c r="D90" s="38">
        <v>419913</v>
      </c>
      <c r="E90" s="38">
        <v>2443341</v>
      </c>
      <c r="F90" s="30">
        <f t="shared" si="8"/>
        <v>0.47074763612610765</v>
      </c>
      <c r="G90" s="38">
        <v>657257</v>
      </c>
      <c r="H90" s="38">
        <v>2333049</v>
      </c>
      <c r="I90" s="6">
        <v>360</v>
      </c>
      <c r="J90" s="34">
        <f t="shared" si="1"/>
        <v>101.41772418839038</v>
      </c>
      <c r="K90" s="6">
        <f>163609+30623</f>
        <v>194232</v>
      </c>
      <c r="L90" s="6">
        <f>707660+59509</f>
        <v>767169</v>
      </c>
      <c r="M90" s="38">
        <v>3339964</v>
      </c>
      <c r="N90" s="34">
        <f t="shared" si="2"/>
        <v>82.689765518430733</v>
      </c>
      <c r="O90" s="34">
        <f t="shared" si="3"/>
        <v>23.295021757085781</v>
      </c>
      <c r="P90" s="30">
        <f t="shared" si="4"/>
        <v>160.81246794973535</v>
      </c>
      <c r="Q90" s="38">
        <v>683803</v>
      </c>
      <c r="R90" s="38">
        <v>658258</v>
      </c>
      <c r="S90" s="30">
        <f t="shared" si="5"/>
        <v>25545</v>
      </c>
      <c r="T90" s="38">
        <v>615157</v>
      </c>
      <c r="U90" s="38">
        <v>1828184</v>
      </c>
      <c r="V90" s="32">
        <f t="shared" si="6"/>
        <v>0.33648527719310528</v>
      </c>
      <c r="W90" s="1"/>
      <c r="X90" s="1"/>
      <c r="Y90" s="1"/>
      <c r="Z90" s="1"/>
    </row>
    <row r="91" spans="1:26" ht="15.75" customHeight="1">
      <c r="A91" s="1"/>
      <c r="B91" s="9" t="s">
        <v>100</v>
      </c>
      <c r="C91" s="6"/>
      <c r="D91" s="6"/>
      <c r="E91" s="6"/>
      <c r="F91" s="30" t="e">
        <f t="shared" si="8"/>
        <v>#DIV/0!</v>
      </c>
      <c r="G91" s="6"/>
      <c r="H91" s="6"/>
      <c r="I91" s="6">
        <v>360</v>
      </c>
      <c r="J91" s="34" t="e">
        <f t="shared" si="1"/>
        <v>#DIV/0!</v>
      </c>
      <c r="K91" s="6"/>
      <c r="L91" s="6"/>
      <c r="M91" s="6"/>
      <c r="N91" s="34" t="e">
        <f t="shared" si="2"/>
        <v>#DIV/0!</v>
      </c>
      <c r="O91" s="34" t="e">
        <f t="shared" si="3"/>
        <v>#DIV/0!</v>
      </c>
      <c r="P91" s="30" t="e">
        <f t="shared" si="4"/>
        <v>#DIV/0!</v>
      </c>
      <c r="Q91" s="6"/>
      <c r="R91" s="6"/>
      <c r="S91" s="30">
        <f t="shared" si="5"/>
        <v>0</v>
      </c>
      <c r="T91" s="6"/>
      <c r="U91" s="6"/>
      <c r="V91" s="32" t="e">
        <f t="shared" si="6"/>
        <v>#DIV/0!</v>
      </c>
      <c r="W91" s="1"/>
      <c r="X91" s="1"/>
      <c r="Y91" s="1"/>
      <c r="Z91" s="1"/>
    </row>
    <row r="92" spans="1:26" ht="15.75" customHeight="1">
      <c r="A92" s="1"/>
      <c r="B92" s="36" t="s">
        <v>101</v>
      </c>
      <c r="C92" s="38">
        <v>20198775</v>
      </c>
      <c r="D92" s="38">
        <v>109578487</v>
      </c>
      <c r="E92" s="38">
        <v>98459842</v>
      </c>
      <c r="F92" s="30">
        <f t="shared" si="8"/>
        <v>-0.90777834073713015</v>
      </c>
      <c r="G92" s="38">
        <v>15537661</v>
      </c>
      <c r="H92" s="38">
        <v>35266976</v>
      </c>
      <c r="I92" s="6">
        <v>360</v>
      </c>
      <c r="J92" s="34">
        <f t="shared" si="1"/>
        <v>158.60611241519544</v>
      </c>
      <c r="K92" s="6">
        <f>6546297+2500177</f>
        <v>9046474</v>
      </c>
      <c r="L92" s="6">
        <f>2432552+292920</f>
        <v>2725472</v>
      </c>
      <c r="M92" s="38">
        <v>33318959</v>
      </c>
      <c r="N92" s="34">
        <f t="shared" si="2"/>
        <v>29.44779637323003</v>
      </c>
      <c r="O92" s="34">
        <f t="shared" si="3"/>
        <v>12.973890283200852</v>
      </c>
      <c r="P92" s="30">
        <f t="shared" si="4"/>
        <v>175.08001850522461</v>
      </c>
      <c r="Q92" s="38">
        <v>72667890</v>
      </c>
      <c r="R92" s="38">
        <v>83029189</v>
      </c>
      <c r="S92" s="30">
        <f t="shared" si="5"/>
        <v>-10361299</v>
      </c>
      <c r="T92" s="38">
        <v>170755921</v>
      </c>
      <c r="U92" s="38">
        <v>72296079</v>
      </c>
      <c r="V92" s="32">
        <f t="shared" si="6"/>
        <v>2.3618973997192847</v>
      </c>
      <c r="W92" s="1"/>
      <c r="X92" s="1"/>
      <c r="Y92" s="1"/>
      <c r="Z92" s="1"/>
    </row>
    <row r="93" spans="1:26" ht="15.75" customHeight="1">
      <c r="A93" s="1"/>
      <c r="B93" s="36" t="s">
        <v>102</v>
      </c>
      <c r="C93" s="38">
        <v>124044482</v>
      </c>
      <c r="D93" s="38">
        <v>1111649433</v>
      </c>
      <c r="E93" s="38">
        <v>234243094</v>
      </c>
      <c r="F93" s="30">
        <f t="shared" si="8"/>
        <v>-4.2161539712244407</v>
      </c>
      <c r="G93" s="38">
        <v>54418341</v>
      </c>
      <c r="H93" s="38">
        <v>371785957</v>
      </c>
      <c r="I93" s="6">
        <v>360</v>
      </c>
      <c r="J93" s="34">
        <f t="shared" si="1"/>
        <v>52.693229507859009</v>
      </c>
      <c r="K93" s="38">
        <v>9264538</v>
      </c>
      <c r="L93" s="38">
        <v>2112875</v>
      </c>
      <c r="M93" s="38">
        <v>399776871</v>
      </c>
      <c r="N93" s="34">
        <f t="shared" si="2"/>
        <v>1.9026488403327364</v>
      </c>
      <c r="O93" s="34">
        <f t="shared" si="3"/>
        <v>0.27849086671254075</v>
      </c>
      <c r="P93" s="30">
        <f t="shared" si="4"/>
        <v>54.317387481479209</v>
      </c>
      <c r="Q93" s="38">
        <v>67634235</v>
      </c>
      <c r="R93" s="38">
        <v>69647040</v>
      </c>
      <c r="S93" s="30">
        <f t="shared" si="5"/>
        <v>-2012805</v>
      </c>
      <c r="T93" s="38">
        <v>1174732996</v>
      </c>
      <c r="U93" s="38">
        <v>940489902</v>
      </c>
      <c r="V93" s="32">
        <f t="shared" si="6"/>
        <v>1.249064975075086</v>
      </c>
      <c r="W93" s="1"/>
      <c r="X93" s="1"/>
      <c r="Y93" s="1"/>
      <c r="Z93" s="1"/>
    </row>
    <row r="94" spans="1:26" ht="15.75" customHeight="1">
      <c r="A94" s="46"/>
      <c r="B94" s="47" t="s">
        <v>103</v>
      </c>
      <c r="C94" s="48"/>
      <c r="D94" s="48"/>
      <c r="E94" s="48"/>
      <c r="F94" s="49" t="e">
        <f t="shared" si="8"/>
        <v>#DIV/0!</v>
      </c>
      <c r="G94" s="48"/>
      <c r="H94" s="48"/>
      <c r="I94" s="48">
        <v>360</v>
      </c>
      <c r="J94" s="48" t="e">
        <f t="shared" si="1"/>
        <v>#DIV/0!</v>
      </c>
      <c r="K94" s="48"/>
      <c r="L94" s="48"/>
      <c r="M94" s="48"/>
      <c r="N94" s="48" t="e">
        <f t="shared" si="2"/>
        <v>#DIV/0!</v>
      </c>
      <c r="O94" s="48" t="e">
        <f t="shared" si="3"/>
        <v>#DIV/0!</v>
      </c>
      <c r="P94" s="49" t="e">
        <f t="shared" si="4"/>
        <v>#DIV/0!</v>
      </c>
      <c r="Q94" s="48"/>
      <c r="R94" s="48"/>
      <c r="S94" s="49">
        <f t="shared" si="5"/>
        <v>0</v>
      </c>
      <c r="T94" s="48"/>
      <c r="U94" s="48"/>
      <c r="V94" s="50" t="e">
        <f t="shared" si="6"/>
        <v>#DIV/0!</v>
      </c>
      <c r="W94" s="46"/>
      <c r="X94" s="46"/>
      <c r="Y94" s="46"/>
      <c r="Z94" s="46"/>
    </row>
    <row r="95" spans="1:26" ht="15.75" customHeight="1">
      <c r="A95" s="46"/>
      <c r="B95" s="47" t="s">
        <v>104</v>
      </c>
      <c r="C95" s="48"/>
      <c r="D95" s="48"/>
      <c r="E95" s="48"/>
      <c r="F95" s="49" t="e">
        <f t="shared" si="8"/>
        <v>#DIV/0!</v>
      </c>
      <c r="G95" s="48"/>
      <c r="H95" s="48"/>
      <c r="I95" s="48">
        <v>360</v>
      </c>
      <c r="J95" s="48" t="e">
        <f t="shared" si="1"/>
        <v>#DIV/0!</v>
      </c>
      <c r="K95" s="48"/>
      <c r="L95" s="48"/>
      <c r="M95" s="48"/>
      <c r="N95" s="48" t="e">
        <f t="shared" si="2"/>
        <v>#DIV/0!</v>
      </c>
      <c r="O95" s="48" t="e">
        <f t="shared" si="3"/>
        <v>#DIV/0!</v>
      </c>
      <c r="P95" s="49" t="e">
        <f t="shared" si="4"/>
        <v>#DIV/0!</v>
      </c>
      <c r="Q95" s="48"/>
      <c r="R95" s="48"/>
      <c r="S95" s="49">
        <f t="shared" si="5"/>
        <v>0</v>
      </c>
      <c r="T95" s="48"/>
      <c r="U95" s="48"/>
      <c r="V95" s="50" t="e">
        <f t="shared" si="6"/>
        <v>#DIV/0!</v>
      </c>
      <c r="W95" s="46"/>
      <c r="X95" s="46"/>
      <c r="Y95" s="46"/>
      <c r="Z95" s="46"/>
    </row>
    <row r="96" spans="1:26" ht="15.75" customHeight="1">
      <c r="A96" s="1"/>
      <c r="B96" s="36" t="s">
        <v>105</v>
      </c>
      <c r="C96" s="38">
        <v>28014261</v>
      </c>
      <c r="D96" s="38">
        <v>26955857</v>
      </c>
      <c r="E96" s="38">
        <v>59250870</v>
      </c>
      <c r="F96" s="30">
        <f t="shared" si="8"/>
        <v>1.7863096356222279E-2</v>
      </c>
      <c r="G96" s="38">
        <v>16832472</v>
      </c>
      <c r="H96" s="38">
        <v>68363151</v>
      </c>
      <c r="I96" s="6">
        <v>360</v>
      </c>
      <c r="J96" s="34">
        <f t="shared" si="1"/>
        <v>88.639710594966573</v>
      </c>
      <c r="K96" s="38">
        <v>3222167</v>
      </c>
      <c r="L96" s="38">
        <v>7790126</v>
      </c>
      <c r="M96" s="38">
        <v>71671310</v>
      </c>
      <c r="N96" s="34">
        <f t="shared" si="2"/>
        <v>39.129260508842378</v>
      </c>
      <c r="O96" s="34">
        <f t="shared" si="3"/>
        <v>9.6344620202745634</v>
      </c>
      <c r="P96" s="30">
        <f t="shared" si="4"/>
        <v>118.13450908353438</v>
      </c>
      <c r="Q96" s="38">
        <v>29566847</v>
      </c>
      <c r="R96" s="38">
        <v>29898771</v>
      </c>
      <c r="S96" s="30">
        <f t="shared" si="5"/>
        <v>-331924</v>
      </c>
      <c r="T96" s="38">
        <v>41381863</v>
      </c>
      <c r="U96" s="38">
        <v>17877008</v>
      </c>
      <c r="V96" s="32">
        <f t="shared" si="6"/>
        <v>2.3148092231093704</v>
      </c>
      <c r="W96" s="1"/>
      <c r="X96" s="1"/>
      <c r="Y96" s="1"/>
      <c r="Z96" s="1"/>
    </row>
    <row r="97" spans="1:26" ht="15.75" customHeight="1">
      <c r="A97" s="1"/>
      <c r="B97" s="36" t="s">
        <v>106</v>
      </c>
      <c r="C97" s="51">
        <v>25494309</v>
      </c>
      <c r="D97" s="38">
        <v>27072234</v>
      </c>
      <c r="E97" s="38">
        <v>61559548</v>
      </c>
      <c r="F97" s="30">
        <f>(C96-D97)/E97</f>
        <v>1.5302695204974539E-2</v>
      </c>
      <c r="G97" s="38">
        <v>20511824</v>
      </c>
      <c r="H97" s="38">
        <v>34359328</v>
      </c>
      <c r="I97" s="6">
        <v>360</v>
      </c>
      <c r="J97" s="34">
        <f t="shared" si="1"/>
        <v>214.91272006251111</v>
      </c>
      <c r="K97" s="38">
        <v>6818699</v>
      </c>
      <c r="L97" s="38">
        <v>3586057</v>
      </c>
      <c r="M97" s="38">
        <v>35125240</v>
      </c>
      <c r="N97" s="34">
        <f t="shared" si="2"/>
        <v>36.753642679736856</v>
      </c>
      <c r="O97" s="34">
        <f t="shared" si="3"/>
        <v>21.941181445855133</v>
      </c>
      <c r="P97" s="30">
        <f t="shared" si="4"/>
        <v>229.72518129639283</v>
      </c>
      <c r="Q97" s="38">
        <v>30265220</v>
      </c>
      <c r="R97" s="38">
        <v>19002667</v>
      </c>
      <c r="S97" s="30">
        <f t="shared" si="5"/>
        <v>11262553</v>
      </c>
      <c r="T97" s="38">
        <v>46846685</v>
      </c>
      <c r="U97" s="38">
        <v>14712863</v>
      </c>
      <c r="V97" s="32">
        <f t="shared" si="6"/>
        <v>3.184063156164779</v>
      </c>
      <c r="W97" s="1"/>
      <c r="X97" s="1"/>
      <c r="Y97" s="1"/>
      <c r="Z97" s="1"/>
    </row>
    <row r="98" spans="1:26" ht="15.75" customHeight="1">
      <c r="A98" s="1"/>
      <c r="B98" s="36" t="s">
        <v>107</v>
      </c>
      <c r="C98" s="38">
        <v>279538915</v>
      </c>
      <c r="D98" s="38">
        <v>268358401</v>
      </c>
      <c r="E98" s="38">
        <v>800108471</v>
      </c>
      <c r="F98" s="30">
        <f t="shared" ref="F98:F163" si="9">(C98-D98)/E98</f>
        <v>1.3973747817000677E-2</v>
      </c>
      <c r="G98" s="38">
        <v>125067417</v>
      </c>
      <c r="H98" s="38">
        <v>688982414</v>
      </c>
      <c r="I98" s="6">
        <v>360</v>
      </c>
      <c r="J98" s="34">
        <f t="shared" si="1"/>
        <v>65.348939544921393</v>
      </c>
      <c r="K98" s="6">
        <f>44678153+164597913</f>
        <v>209276066</v>
      </c>
      <c r="L98" s="6">
        <f>18371610+94989133</f>
        <v>113360743</v>
      </c>
      <c r="M98" s="38">
        <v>777925055</v>
      </c>
      <c r="N98" s="34">
        <f t="shared" si="2"/>
        <v>52.459895998593332</v>
      </c>
      <c r="O98" s="34">
        <f t="shared" si="3"/>
        <v>9.522773811513721</v>
      </c>
      <c r="P98" s="30">
        <f t="shared" si="4"/>
        <v>108.28606173200102</v>
      </c>
      <c r="Q98" s="38">
        <v>476228454</v>
      </c>
      <c r="R98" s="38">
        <v>496129545</v>
      </c>
      <c r="S98" s="30">
        <f t="shared" si="5"/>
        <v>-19901091</v>
      </c>
      <c r="T98" s="38">
        <v>515802535</v>
      </c>
      <c r="U98" s="38">
        <v>284305936</v>
      </c>
      <c r="V98" s="32">
        <f t="shared" si="6"/>
        <v>1.8142517256481061</v>
      </c>
      <c r="W98" s="1"/>
      <c r="X98" s="1"/>
      <c r="Y98" s="1"/>
      <c r="Z98" s="1"/>
    </row>
    <row r="99" spans="1:26" ht="15.75" customHeight="1">
      <c r="A99" s="1"/>
      <c r="B99" s="36" t="s">
        <v>108</v>
      </c>
      <c r="C99" s="38">
        <v>132822954660</v>
      </c>
      <c r="D99" s="38">
        <v>179729679061</v>
      </c>
      <c r="E99" s="38">
        <v>426384622878</v>
      </c>
      <c r="F99" s="30">
        <f t="shared" si="9"/>
        <v>-0.11001035657522121</v>
      </c>
      <c r="G99" s="38">
        <v>55946019924</v>
      </c>
      <c r="H99" s="38">
        <v>71817530038</v>
      </c>
      <c r="I99" s="6">
        <v>360</v>
      </c>
      <c r="J99" s="34">
        <f t="shared" si="1"/>
        <v>280.44082220571011</v>
      </c>
      <c r="K99" s="38">
        <v>725823533</v>
      </c>
      <c r="L99" s="38">
        <v>27899968813</v>
      </c>
      <c r="M99" s="38">
        <v>103245048266</v>
      </c>
      <c r="N99" s="34">
        <f t="shared" si="2"/>
        <v>97.283007188903824</v>
      </c>
      <c r="O99" s="34">
        <f t="shared" si="3"/>
        <v>75.783684785278311</v>
      </c>
      <c r="P99" s="30">
        <f t="shared" si="4"/>
        <v>301.94014460933562</v>
      </c>
      <c r="Q99" s="38">
        <v>287690731442</v>
      </c>
      <c r="R99" s="38">
        <v>307293251267</v>
      </c>
      <c r="S99" s="30">
        <f t="shared" si="5"/>
        <v>-19602519825</v>
      </c>
      <c r="T99" s="38">
        <v>181126294572</v>
      </c>
      <c r="U99" s="38">
        <v>245258328306</v>
      </c>
      <c r="V99" s="32">
        <f t="shared" si="6"/>
        <v>0.73851230995106198</v>
      </c>
      <c r="W99" s="1"/>
      <c r="X99" s="1"/>
      <c r="Y99" s="1"/>
      <c r="Z99" s="1"/>
    </row>
    <row r="100" spans="1:26" ht="15.75" customHeight="1">
      <c r="A100" s="1"/>
      <c r="B100" s="36" t="s">
        <v>109</v>
      </c>
      <c r="C100" s="38">
        <v>439005319</v>
      </c>
      <c r="D100" s="38">
        <v>95835481</v>
      </c>
      <c r="E100" s="38">
        <v>573351293</v>
      </c>
      <c r="F100" s="30">
        <f t="shared" si="9"/>
        <v>0.59853329396782229</v>
      </c>
      <c r="G100" s="38">
        <v>119411680</v>
      </c>
      <c r="H100" s="38">
        <v>472721419</v>
      </c>
      <c r="I100" s="6">
        <v>360</v>
      </c>
      <c r="J100" s="34">
        <f t="shared" si="1"/>
        <v>90.937713148132175</v>
      </c>
      <c r="K100" s="38">
        <f>58062676+1115257</f>
        <v>59177933</v>
      </c>
      <c r="L100" s="6">
        <f>95623969+317441</f>
        <v>95941410</v>
      </c>
      <c r="M100" s="38">
        <v>549355786</v>
      </c>
      <c r="N100" s="34">
        <f t="shared" si="2"/>
        <v>62.871655273691793</v>
      </c>
      <c r="O100" s="34">
        <f t="shared" si="3"/>
        <v>15.881679312297878</v>
      </c>
      <c r="P100" s="30">
        <f t="shared" si="4"/>
        <v>137.92768910952609</v>
      </c>
      <c r="Q100" s="38">
        <v>121327766</v>
      </c>
      <c r="R100" s="38">
        <v>123416244</v>
      </c>
      <c r="S100" s="30">
        <f t="shared" si="5"/>
        <v>-2088478</v>
      </c>
      <c r="T100" s="38">
        <v>338555397</v>
      </c>
      <c r="U100" s="38">
        <v>234795896</v>
      </c>
      <c r="V100" s="32">
        <f t="shared" si="6"/>
        <v>1.4419136056790363</v>
      </c>
      <c r="W100" s="1"/>
      <c r="X100" s="1"/>
      <c r="Y100" s="1"/>
      <c r="Z100" s="1"/>
    </row>
    <row r="101" spans="1:26" ht="15.75" customHeight="1">
      <c r="A101" s="1"/>
      <c r="B101" s="36" t="s">
        <v>110</v>
      </c>
      <c r="C101" s="38">
        <v>247829628</v>
      </c>
      <c r="D101" s="38">
        <v>1083630250</v>
      </c>
      <c r="E101" s="38">
        <v>4035086385</v>
      </c>
      <c r="F101" s="30">
        <f t="shared" si="9"/>
        <v>-0.20713326611965457</v>
      </c>
      <c r="G101" s="38">
        <v>167237942</v>
      </c>
      <c r="H101" s="38">
        <v>1414119927</v>
      </c>
      <c r="I101" s="6">
        <v>360</v>
      </c>
      <c r="J101" s="34">
        <f t="shared" si="1"/>
        <v>42.574648705873166</v>
      </c>
      <c r="K101" s="38">
        <v>231061434</v>
      </c>
      <c r="L101" s="6">
        <f>4009191+21239107</f>
        <v>25248298</v>
      </c>
      <c r="M101" s="38">
        <v>1293363942</v>
      </c>
      <c r="N101" s="34">
        <f t="shared" si="2"/>
        <v>7.0277104416136567</v>
      </c>
      <c r="O101" s="34">
        <f t="shared" si="3"/>
        <v>0.83111750905082826</v>
      </c>
      <c r="P101" s="30">
        <f t="shared" si="4"/>
        <v>48.771241638435995</v>
      </c>
      <c r="Q101" s="38">
        <v>3638921738</v>
      </c>
      <c r="R101" s="38">
        <v>3893899237</v>
      </c>
      <c r="S101" s="30">
        <f t="shared" si="5"/>
        <v>-254977499</v>
      </c>
      <c r="T101" s="38">
        <v>3701551196</v>
      </c>
      <c r="U101" s="38">
        <v>333535189</v>
      </c>
      <c r="V101" s="32">
        <f t="shared" si="6"/>
        <v>11.097933045979145</v>
      </c>
      <c r="W101" s="1"/>
      <c r="X101" s="1"/>
      <c r="Y101" s="1"/>
      <c r="Z101" s="1"/>
    </row>
    <row r="102" spans="1:26" ht="15.75" customHeight="1">
      <c r="A102" s="1"/>
      <c r="B102" s="36" t="s">
        <v>111</v>
      </c>
      <c r="C102" s="38">
        <v>1037820994280</v>
      </c>
      <c r="D102" s="38">
        <v>873224844013</v>
      </c>
      <c r="E102" s="38">
        <v>1374444788282</v>
      </c>
      <c r="F102" s="30">
        <f t="shared" si="9"/>
        <v>0.11975464687289367</v>
      </c>
      <c r="G102" s="38">
        <v>575859991557</v>
      </c>
      <c r="H102" s="38">
        <v>1291873066620</v>
      </c>
      <c r="I102" s="6">
        <v>360</v>
      </c>
      <c r="J102" s="34">
        <f t="shared" si="1"/>
        <v>160.47211008347418</v>
      </c>
      <c r="K102" s="6">
        <f>214940865014+34772731455</f>
        <v>249713596469</v>
      </c>
      <c r="L102" s="6">
        <f>225320584268+69469334102</f>
        <v>294789918370</v>
      </c>
      <c r="M102" s="38">
        <v>1600432168098</v>
      </c>
      <c r="N102" s="34">
        <f t="shared" si="2"/>
        <v>66.309821014983271</v>
      </c>
      <c r="O102" s="34">
        <f t="shared" si="3"/>
        <v>29.557991382032956</v>
      </c>
      <c r="P102" s="30">
        <f t="shared" si="4"/>
        <v>197.2239397164245</v>
      </c>
      <c r="Q102" s="38">
        <v>323156365786</v>
      </c>
      <c r="R102" s="38">
        <v>332510848915</v>
      </c>
      <c r="S102" s="30">
        <f t="shared" si="5"/>
        <v>-9354483129</v>
      </c>
      <c r="T102" s="38">
        <v>944179416586</v>
      </c>
      <c r="U102" s="38">
        <v>430265371696</v>
      </c>
      <c r="V102" s="32">
        <f t="shared" si="6"/>
        <v>2.1944118181397623</v>
      </c>
      <c r="W102" s="1"/>
      <c r="X102" s="1"/>
      <c r="Y102" s="1"/>
      <c r="Z102" s="1"/>
    </row>
    <row r="103" spans="1:26" ht="15.75" customHeight="1">
      <c r="A103" s="1"/>
      <c r="B103" s="36" t="s">
        <v>112</v>
      </c>
      <c r="C103" s="38">
        <v>645050740</v>
      </c>
      <c r="D103" s="38">
        <v>175187960</v>
      </c>
      <c r="E103" s="38">
        <v>1192901038</v>
      </c>
      <c r="F103" s="30">
        <f t="shared" si="9"/>
        <v>0.39388244710371356</v>
      </c>
      <c r="G103" s="38">
        <v>266238820</v>
      </c>
      <c r="H103" s="38">
        <v>588079100</v>
      </c>
      <c r="I103" s="6">
        <v>360</v>
      </c>
      <c r="J103" s="34">
        <f t="shared" si="1"/>
        <v>162.98143430024976</v>
      </c>
      <c r="K103" s="38">
        <v>54941724</v>
      </c>
      <c r="L103" s="6">
        <f>162481172+26177882</f>
        <v>188659054</v>
      </c>
      <c r="M103" s="38">
        <v>759349865</v>
      </c>
      <c r="N103" s="34">
        <f t="shared" si="2"/>
        <v>89.441326811851084</v>
      </c>
      <c r="O103" s="34">
        <f t="shared" si="3"/>
        <v>40.492432581980211</v>
      </c>
      <c r="P103" s="30">
        <f t="shared" si="4"/>
        <v>211.93032853012062</v>
      </c>
      <c r="Q103" s="38">
        <v>546707929</v>
      </c>
      <c r="R103" s="38">
        <v>519304496</v>
      </c>
      <c r="S103" s="30">
        <f t="shared" si="5"/>
        <v>27403433</v>
      </c>
      <c r="T103" s="38">
        <v>750742209</v>
      </c>
      <c r="U103" s="38">
        <v>442158829</v>
      </c>
      <c r="V103" s="32">
        <f t="shared" si="6"/>
        <v>1.6979016583201598</v>
      </c>
      <c r="W103" s="1"/>
      <c r="X103" s="1"/>
      <c r="Y103" s="1"/>
      <c r="Z103" s="1"/>
    </row>
    <row r="104" spans="1:26" ht="15.75" customHeight="1">
      <c r="A104" s="1"/>
      <c r="B104" s="36" t="s">
        <v>113</v>
      </c>
      <c r="C104" s="38">
        <v>321284372984</v>
      </c>
      <c r="D104" s="38">
        <v>115972411559</v>
      </c>
      <c r="E104" s="38">
        <v>614705038056</v>
      </c>
      <c r="F104" s="30">
        <f t="shared" si="9"/>
        <v>0.33400077877073775</v>
      </c>
      <c r="G104" s="38">
        <v>25983778836</v>
      </c>
      <c r="H104" s="38">
        <v>902360282563</v>
      </c>
      <c r="I104" s="6">
        <v>360</v>
      </c>
      <c r="J104" s="34">
        <f t="shared" si="1"/>
        <v>10.366325470787686</v>
      </c>
      <c r="K104" s="38">
        <v>231301979</v>
      </c>
      <c r="L104" s="38">
        <v>37347034900</v>
      </c>
      <c r="M104" s="38">
        <v>114496159735</v>
      </c>
      <c r="N104" s="34">
        <f t="shared" si="2"/>
        <v>117.42693025790679</v>
      </c>
      <c r="O104" s="34">
        <f t="shared" si="3"/>
        <v>3.381349383580412</v>
      </c>
      <c r="P104" s="30">
        <f t="shared" si="4"/>
        <v>124.41190634511406</v>
      </c>
      <c r="Q104" s="38">
        <v>290509898711</v>
      </c>
      <c r="R104" s="38">
        <v>303390837904</v>
      </c>
      <c r="S104" s="30">
        <f t="shared" si="5"/>
        <v>-12880939193</v>
      </c>
      <c r="T104" s="38">
        <v>124422750504</v>
      </c>
      <c r="U104" s="38">
        <v>490282287552</v>
      </c>
      <c r="V104" s="32">
        <f t="shared" si="6"/>
        <v>0.25377777999129442</v>
      </c>
      <c r="W104" s="1"/>
      <c r="X104" s="1"/>
      <c r="Y104" s="1"/>
      <c r="Z104" s="1"/>
    </row>
    <row r="105" spans="1:26" ht="15.75" customHeight="1">
      <c r="A105" s="1"/>
      <c r="B105" s="36" t="s">
        <v>114</v>
      </c>
      <c r="C105" s="38">
        <v>311547858348</v>
      </c>
      <c r="D105" s="38">
        <v>182421582456</v>
      </c>
      <c r="E105" s="38">
        <v>605643301307</v>
      </c>
      <c r="F105" s="30">
        <f t="shared" si="9"/>
        <v>0.21320515823974417</v>
      </c>
      <c r="G105" s="38">
        <v>293180825559</v>
      </c>
      <c r="H105" s="38">
        <v>340200437602</v>
      </c>
      <c r="I105" s="6">
        <v>360</v>
      </c>
      <c r="J105" s="34">
        <f t="shared" si="1"/>
        <v>310.24386078161677</v>
      </c>
      <c r="K105" s="38">
        <v>104304344677</v>
      </c>
      <c r="L105" s="38">
        <v>15891336432</v>
      </c>
      <c r="M105" s="38">
        <v>343842837211</v>
      </c>
      <c r="N105" s="34">
        <f t="shared" si="2"/>
        <v>16.638069770257761</v>
      </c>
      <c r="O105" s="34">
        <f t="shared" si="3"/>
        <v>14.338497226329654</v>
      </c>
      <c r="P105" s="30">
        <f t="shared" si="4"/>
        <v>312.54343332554487</v>
      </c>
      <c r="Q105" s="38">
        <v>293194002959</v>
      </c>
      <c r="R105" s="38">
        <v>318356385778</v>
      </c>
      <c r="S105" s="30">
        <f t="shared" si="5"/>
        <v>-25162382819</v>
      </c>
      <c r="T105" s="38">
        <v>393177629585</v>
      </c>
      <c r="U105" s="38">
        <v>212465671723</v>
      </c>
      <c r="V105" s="32">
        <f t="shared" si="6"/>
        <v>1.8505466148790446</v>
      </c>
      <c r="W105" s="1"/>
      <c r="X105" s="1"/>
      <c r="Y105" s="1"/>
      <c r="Z105" s="1"/>
    </row>
    <row r="106" spans="1:26" ht="15.75" customHeight="1">
      <c r="A106" s="1"/>
      <c r="B106" s="36" t="s">
        <v>115</v>
      </c>
      <c r="C106" s="38">
        <v>106148204</v>
      </c>
      <c r="D106" s="38">
        <v>31355898</v>
      </c>
      <c r="E106" s="38">
        <v>331168426</v>
      </c>
      <c r="F106" s="30">
        <f t="shared" si="9"/>
        <v>0.22584371011263013</v>
      </c>
      <c r="G106" s="38">
        <v>38388231</v>
      </c>
      <c r="H106" s="38">
        <v>204655712</v>
      </c>
      <c r="I106" s="6">
        <v>360</v>
      </c>
      <c r="J106" s="34">
        <f t="shared" si="1"/>
        <v>67.526887106869509</v>
      </c>
      <c r="K106" s="38">
        <v>18066406</v>
      </c>
      <c r="L106" s="38">
        <v>21227231</v>
      </c>
      <c r="M106" s="38">
        <v>216591205</v>
      </c>
      <c r="N106" s="34">
        <f t="shared" si="2"/>
        <v>35.282148968144853</v>
      </c>
      <c r="O106" s="34">
        <f t="shared" si="3"/>
        <v>6.6180380284990834</v>
      </c>
      <c r="P106" s="30">
        <f t="shared" si="4"/>
        <v>96.190998046515276</v>
      </c>
      <c r="Q106" s="38">
        <v>214208792</v>
      </c>
      <c r="R106" s="38">
        <v>226329588</v>
      </c>
      <c r="S106" s="30">
        <f t="shared" si="5"/>
        <v>-12120796</v>
      </c>
      <c r="T106" s="38">
        <v>36461388</v>
      </c>
      <c r="U106" s="38">
        <v>294707038</v>
      </c>
      <c r="V106" s="32">
        <f t="shared" si="6"/>
        <v>0.12372079149327951</v>
      </c>
      <c r="W106" s="1"/>
      <c r="X106" s="1"/>
      <c r="Y106" s="1"/>
      <c r="Z106" s="1"/>
    </row>
    <row r="107" spans="1:26" ht="15.75" customHeight="1">
      <c r="A107" s="1"/>
      <c r="B107" s="36" t="s">
        <v>116</v>
      </c>
      <c r="C107" s="38">
        <v>356846493425</v>
      </c>
      <c r="D107" s="38">
        <v>185606885071</v>
      </c>
      <c r="E107" s="38">
        <v>544968319987</v>
      </c>
      <c r="F107" s="30">
        <f t="shared" si="9"/>
        <v>0.31421938133593685</v>
      </c>
      <c r="G107" s="38">
        <v>189713973747</v>
      </c>
      <c r="H107" s="38">
        <v>592289133221</v>
      </c>
      <c r="I107" s="6">
        <v>360</v>
      </c>
      <c r="J107" s="34">
        <f t="shared" si="1"/>
        <v>115.31028803028272</v>
      </c>
      <c r="K107" s="6">
        <f>25209137125+2272811769</f>
        <v>27481948894</v>
      </c>
      <c r="L107" s="6">
        <f>100679480586+1932057198</f>
        <v>102611537784</v>
      </c>
      <c r="M107" s="38">
        <v>773806956330</v>
      </c>
      <c r="N107" s="34">
        <f t="shared" si="2"/>
        <v>47.738203049296949</v>
      </c>
      <c r="O107" s="34">
        <f t="shared" si="3"/>
        <v>15.29084984350709</v>
      </c>
      <c r="P107" s="30">
        <f t="shared" si="4"/>
        <v>147.75764123607257</v>
      </c>
      <c r="Q107" s="38">
        <v>126623972147</v>
      </c>
      <c r="R107" s="38">
        <v>132953556301</v>
      </c>
      <c r="S107" s="30">
        <f t="shared" si="5"/>
        <v>-6329584154</v>
      </c>
      <c r="T107" s="38">
        <v>188736733204</v>
      </c>
      <c r="U107" s="38">
        <v>356231586783</v>
      </c>
      <c r="V107" s="32">
        <f t="shared" si="6"/>
        <v>0.52981470539548137</v>
      </c>
      <c r="W107" s="1"/>
      <c r="X107" s="1"/>
      <c r="Y107" s="1"/>
      <c r="Z107" s="1"/>
    </row>
    <row r="108" spans="1:26" ht="15.75" customHeight="1">
      <c r="A108" s="1"/>
      <c r="B108" s="9" t="s">
        <v>117</v>
      </c>
      <c r="C108" s="6"/>
      <c r="D108" s="6"/>
      <c r="E108" s="6"/>
      <c r="F108" s="30" t="e">
        <f t="shared" si="9"/>
        <v>#DIV/0!</v>
      </c>
      <c r="G108" s="6"/>
      <c r="H108" s="6"/>
      <c r="I108" s="6">
        <v>360</v>
      </c>
      <c r="J108" s="34" t="e">
        <f t="shared" si="1"/>
        <v>#DIV/0!</v>
      </c>
      <c r="K108" s="6"/>
      <c r="L108" s="6"/>
      <c r="M108" s="6"/>
      <c r="N108" s="34" t="e">
        <f t="shared" si="2"/>
        <v>#DIV/0!</v>
      </c>
      <c r="O108" s="34" t="e">
        <f t="shared" si="3"/>
        <v>#DIV/0!</v>
      </c>
      <c r="P108" s="30" t="e">
        <f t="shared" si="4"/>
        <v>#DIV/0!</v>
      </c>
      <c r="Q108" s="6"/>
      <c r="R108" s="6"/>
      <c r="S108" s="30">
        <f t="shared" si="5"/>
        <v>0</v>
      </c>
      <c r="T108" s="6"/>
      <c r="U108" s="6"/>
      <c r="V108" s="32" t="e">
        <f t="shared" si="6"/>
        <v>#DIV/0!</v>
      </c>
      <c r="W108" s="1"/>
      <c r="X108" s="1"/>
      <c r="Y108" s="1"/>
      <c r="Z108" s="1"/>
    </row>
    <row r="109" spans="1:26" ht="15.75" customHeight="1">
      <c r="A109" s="1"/>
      <c r="B109" s="36" t="s">
        <v>118</v>
      </c>
      <c r="C109" s="38">
        <v>72385157397</v>
      </c>
      <c r="D109" s="38">
        <v>84180581813</v>
      </c>
      <c r="E109" s="38">
        <v>89327328853</v>
      </c>
      <c r="F109" s="30">
        <f t="shared" si="9"/>
        <v>-0.13204720847984763</v>
      </c>
      <c r="G109" s="38">
        <v>34873724745</v>
      </c>
      <c r="H109" s="38">
        <v>88499522950</v>
      </c>
      <c r="I109" s="6">
        <v>360</v>
      </c>
      <c r="J109" s="34">
        <f t="shared" si="1"/>
        <v>141.85998398311139</v>
      </c>
      <c r="K109" s="38">
        <v>17729836051</v>
      </c>
      <c r="L109" s="38">
        <v>13744954448</v>
      </c>
      <c r="M109" s="38">
        <v>153713878373</v>
      </c>
      <c r="N109" s="34">
        <f t="shared" si="2"/>
        <v>32.190870815664447</v>
      </c>
      <c r="O109" s="34">
        <f t="shared" si="3"/>
        <v>12.68499005086824</v>
      </c>
      <c r="P109" s="30">
        <f t="shared" si="4"/>
        <v>161.36586474790761</v>
      </c>
      <c r="Q109" s="38">
        <v>10990004495</v>
      </c>
      <c r="R109" s="38">
        <v>11365108955</v>
      </c>
      <c r="S109" s="30">
        <f t="shared" si="5"/>
        <v>-375104460</v>
      </c>
      <c r="T109" s="38">
        <v>173964702574</v>
      </c>
      <c r="U109" s="38">
        <v>84637373721</v>
      </c>
      <c r="V109" s="32">
        <f t="shared" si="6"/>
        <v>2.0554123423945083</v>
      </c>
      <c r="W109" s="1"/>
      <c r="X109" s="1"/>
      <c r="Y109" s="1"/>
      <c r="Z109" s="1"/>
    </row>
    <row r="110" spans="1:26" ht="15.75" customHeight="1">
      <c r="A110" s="1"/>
      <c r="B110" s="36" t="s">
        <v>119</v>
      </c>
      <c r="C110" s="38">
        <v>567954415</v>
      </c>
      <c r="D110" s="38">
        <v>230497528</v>
      </c>
      <c r="E110" s="38">
        <v>855691231</v>
      </c>
      <c r="F110" s="30">
        <f t="shared" si="9"/>
        <v>0.394367588184388</v>
      </c>
      <c r="G110" s="38">
        <v>383148815</v>
      </c>
      <c r="H110" s="38">
        <v>526713772</v>
      </c>
      <c r="I110" s="6">
        <v>360</v>
      </c>
      <c r="J110" s="34">
        <f t="shared" si="1"/>
        <v>261.8757676987417</v>
      </c>
      <c r="K110" s="6">
        <f>101394259+42794193</f>
        <v>144188452</v>
      </c>
      <c r="L110" s="6">
        <f>30811387+3521570</f>
        <v>34332957</v>
      </c>
      <c r="M110" s="38">
        <v>974563083</v>
      </c>
      <c r="N110" s="34">
        <f t="shared" si="2"/>
        <v>12.682467390363893</v>
      </c>
      <c r="O110" s="34">
        <f t="shared" si="3"/>
        <v>9.2256413449050054</v>
      </c>
      <c r="P110" s="30">
        <f t="shared" si="4"/>
        <v>265.33259374420061</v>
      </c>
      <c r="Q110" s="38">
        <v>218946522</v>
      </c>
      <c r="R110" s="38">
        <v>219554437</v>
      </c>
      <c r="S110" s="30">
        <f t="shared" si="5"/>
        <v>-607915</v>
      </c>
      <c r="T110" s="38">
        <v>276382503</v>
      </c>
      <c r="U110" s="38">
        <v>579308728</v>
      </c>
      <c r="V110" s="32">
        <f t="shared" si="6"/>
        <v>0.47709017600024833</v>
      </c>
      <c r="W110" s="1"/>
      <c r="X110" s="1"/>
      <c r="Y110" s="1"/>
      <c r="Z110" s="1"/>
    </row>
    <row r="111" spans="1:26" ht="15.75" customHeight="1">
      <c r="A111" s="1"/>
      <c r="B111" s="13" t="s">
        <v>120</v>
      </c>
      <c r="C111" s="6"/>
      <c r="D111" s="6"/>
      <c r="E111" s="6"/>
      <c r="F111" s="30" t="e">
        <f t="shared" si="9"/>
        <v>#DIV/0!</v>
      </c>
      <c r="G111" s="6"/>
      <c r="H111" s="6"/>
      <c r="I111" s="6">
        <v>360</v>
      </c>
      <c r="J111" s="34" t="e">
        <f t="shared" si="1"/>
        <v>#DIV/0!</v>
      </c>
      <c r="K111" s="6"/>
      <c r="L111" s="6"/>
      <c r="M111" s="6"/>
      <c r="N111" s="34" t="e">
        <f t="shared" si="2"/>
        <v>#DIV/0!</v>
      </c>
      <c r="O111" s="34" t="e">
        <f t="shared" si="3"/>
        <v>#DIV/0!</v>
      </c>
      <c r="P111" s="30" t="e">
        <f t="shared" si="4"/>
        <v>#DIV/0!</v>
      </c>
      <c r="Q111" s="6"/>
      <c r="R111" s="6"/>
      <c r="S111" s="30">
        <f t="shared" si="5"/>
        <v>0</v>
      </c>
      <c r="T111" s="6"/>
      <c r="U111" s="6"/>
      <c r="V111" s="32" t="e">
        <f t="shared" si="6"/>
        <v>#DIV/0!</v>
      </c>
      <c r="W111" s="1"/>
      <c r="X111" s="1"/>
      <c r="Y111" s="1"/>
      <c r="Z111" s="1"/>
    </row>
    <row r="112" spans="1:26" ht="15.75" customHeight="1">
      <c r="A112" s="1"/>
      <c r="B112" s="36" t="s">
        <v>121</v>
      </c>
      <c r="C112" s="38">
        <v>1294457697</v>
      </c>
      <c r="D112" s="38">
        <v>1220226620</v>
      </c>
      <c r="E112" s="38">
        <v>1927965352</v>
      </c>
      <c r="F112" s="30">
        <f t="shared" si="9"/>
        <v>3.8502287877214922E-2</v>
      </c>
      <c r="G112" s="38">
        <v>567575714</v>
      </c>
      <c r="H112" s="38">
        <v>1879070577</v>
      </c>
      <c r="I112" s="6">
        <v>360</v>
      </c>
      <c r="J112" s="34">
        <f t="shared" si="1"/>
        <v>108.73846865625208</v>
      </c>
      <c r="K112" s="6">
        <f>198805686+139018138</f>
        <v>337823824</v>
      </c>
      <c r="L112" s="6">
        <f>369651364+131331510</f>
        <v>500982874</v>
      </c>
      <c r="M112" s="38">
        <v>2184518893</v>
      </c>
      <c r="N112" s="34">
        <f t="shared" si="2"/>
        <v>82.559979324472707</v>
      </c>
      <c r="O112" s="34">
        <f t="shared" si="3"/>
        <v>24.937349233430542</v>
      </c>
      <c r="P112" s="30">
        <f t="shared" si="4"/>
        <v>166.36109874729425</v>
      </c>
      <c r="Q112" s="38">
        <v>567615030</v>
      </c>
      <c r="R112" s="38">
        <v>408722055</v>
      </c>
      <c r="S112" s="30">
        <f t="shared" si="5"/>
        <v>158892975</v>
      </c>
      <c r="T112" s="38">
        <v>1380623870</v>
      </c>
      <c r="U112" s="38">
        <v>547361482</v>
      </c>
      <c r="V112" s="32">
        <f t="shared" si="6"/>
        <v>2.5223255844663179</v>
      </c>
      <c r="W112" s="1"/>
      <c r="X112" s="1"/>
      <c r="Y112" s="1"/>
      <c r="Z112" s="1"/>
    </row>
    <row r="113" spans="1:26" ht="15.75" customHeight="1">
      <c r="A113" s="1"/>
      <c r="B113" s="36" t="s">
        <v>122</v>
      </c>
      <c r="C113" s="38">
        <v>548840102130</v>
      </c>
      <c r="D113" s="38">
        <v>434423462965</v>
      </c>
      <c r="E113" s="38">
        <v>1235198847468</v>
      </c>
      <c r="F113" s="30">
        <f t="shared" si="9"/>
        <v>9.2630137568165252E-2</v>
      </c>
      <c r="G113" s="38">
        <v>148328308855</v>
      </c>
      <c r="H113" s="38">
        <v>1109571811710</v>
      </c>
      <c r="I113" s="6">
        <v>360</v>
      </c>
      <c r="J113" s="34">
        <f t="shared" si="1"/>
        <v>48.125043033948543</v>
      </c>
      <c r="K113" s="6">
        <f>255671488329+36650451529</f>
        <v>292321939858</v>
      </c>
      <c r="L113" s="6">
        <f>71429010416+154425410221</f>
        <v>225854420637</v>
      </c>
      <c r="M113" s="38">
        <v>1215476677995</v>
      </c>
      <c r="N113" s="34">
        <f t="shared" si="2"/>
        <v>66.893584139715159</v>
      </c>
      <c r="O113" s="34">
        <f t="shared" si="3"/>
        <v>8.9423794872745841</v>
      </c>
      <c r="P113" s="30">
        <f t="shared" si="4"/>
        <v>106.07624768638912</v>
      </c>
      <c r="Q113" s="38">
        <v>682650826458</v>
      </c>
      <c r="R113" s="38">
        <v>244138597496</v>
      </c>
      <c r="S113" s="30">
        <f t="shared" si="5"/>
        <v>438512228962</v>
      </c>
      <c r="T113" s="38">
        <v>443770270269</v>
      </c>
      <c r="U113" s="38">
        <v>791428577199</v>
      </c>
      <c r="V113" s="32">
        <f t="shared" si="6"/>
        <v>0.56072055401332399</v>
      </c>
      <c r="W113" s="1"/>
      <c r="X113" s="1"/>
      <c r="Y113" s="1"/>
      <c r="Z113" s="1"/>
    </row>
    <row r="114" spans="1:26" ht="15.75" customHeight="1">
      <c r="A114" s="1"/>
      <c r="B114" s="36" t="s">
        <v>123</v>
      </c>
      <c r="C114" s="38">
        <v>1843100256808</v>
      </c>
      <c r="D114" s="38">
        <v>933490170009</v>
      </c>
      <c r="E114" s="38">
        <v>3013760616985</v>
      </c>
      <c r="F114" s="30">
        <f t="shared" si="9"/>
        <v>0.30181895724318814</v>
      </c>
      <c r="G114" s="38">
        <v>815326312661</v>
      </c>
      <c r="H114" s="38">
        <v>2671942419304</v>
      </c>
      <c r="I114" s="6">
        <v>360</v>
      </c>
      <c r="J114" s="34">
        <f t="shared" si="1"/>
        <v>109.85172076964773</v>
      </c>
      <c r="K114" s="38">
        <v>485207360459</v>
      </c>
      <c r="L114" s="38">
        <v>704503847077</v>
      </c>
      <c r="M114" s="38">
        <v>3186704707526</v>
      </c>
      <c r="N114" s="34">
        <f t="shared" si="2"/>
        <v>79.587350641164079</v>
      </c>
      <c r="O114" s="34">
        <f t="shared" si="3"/>
        <v>24.285576165081114</v>
      </c>
      <c r="P114" s="30">
        <f t="shared" si="4"/>
        <v>165.15349524573068</v>
      </c>
      <c r="Q114" s="38">
        <v>1043801546776</v>
      </c>
      <c r="R114" s="38">
        <v>560534774701</v>
      </c>
      <c r="S114" s="30">
        <f t="shared" si="5"/>
        <v>483266772075</v>
      </c>
      <c r="T114" s="38">
        <v>1227014231702</v>
      </c>
      <c r="U114" s="38">
        <v>1786746385283</v>
      </c>
      <c r="V114" s="32">
        <f t="shared" si="6"/>
        <v>0.68673105585024319</v>
      </c>
      <c r="W114" s="1"/>
      <c r="X114" s="1"/>
      <c r="Y114" s="1"/>
      <c r="Z114" s="1"/>
    </row>
    <row r="115" spans="1:26" ht="15.75" customHeight="1">
      <c r="A115" s="1"/>
      <c r="B115" s="36" t="s">
        <v>124</v>
      </c>
      <c r="C115" s="38">
        <v>41223179</v>
      </c>
      <c r="D115" s="38">
        <v>8897593</v>
      </c>
      <c r="E115" s="38">
        <v>81407029</v>
      </c>
      <c r="F115" s="30">
        <f t="shared" si="9"/>
        <v>0.39708593222337102</v>
      </c>
      <c r="G115" s="38">
        <v>19734318</v>
      </c>
      <c r="H115" s="38">
        <v>132599993</v>
      </c>
      <c r="I115" s="6">
        <v>360</v>
      </c>
      <c r="J115" s="34">
        <f t="shared" si="1"/>
        <v>53.577336765017783</v>
      </c>
      <c r="K115" s="6">
        <f>1395724+4992964</f>
        <v>6388688</v>
      </c>
      <c r="L115" s="6">
        <f>9213122+9595194</f>
        <v>18808316</v>
      </c>
      <c r="M115" s="38">
        <v>141178215</v>
      </c>
      <c r="N115" s="34">
        <f t="shared" si="2"/>
        <v>47.960613186673314</v>
      </c>
      <c r="O115" s="34">
        <f t="shared" si="3"/>
        <v>7.1377831226643025</v>
      </c>
      <c r="P115" s="30">
        <f t="shared" si="4"/>
        <v>94.400166829026801</v>
      </c>
      <c r="Q115" s="38">
        <v>32050036</v>
      </c>
      <c r="R115" s="38">
        <v>23946450</v>
      </c>
      <c r="S115" s="30">
        <f t="shared" si="5"/>
        <v>8103586</v>
      </c>
      <c r="T115" s="38">
        <v>16204114</v>
      </c>
      <c r="U115" s="38">
        <v>65202915</v>
      </c>
      <c r="V115" s="32">
        <f t="shared" si="6"/>
        <v>0.24851824492816005</v>
      </c>
      <c r="W115" s="1"/>
      <c r="X115" s="1"/>
      <c r="Y115" s="1"/>
      <c r="Z115" s="1"/>
    </row>
    <row r="116" spans="1:26" ht="15.75" customHeight="1">
      <c r="A116" s="1"/>
      <c r="B116" s="36" t="s">
        <v>125</v>
      </c>
      <c r="C116" s="38">
        <v>2171012758933</v>
      </c>
      <c r="D116" s="38">
        <v>1246236997513</v>
      </c>
      <c r="E116" s="38">
        <v>4014244589706</v>
      </c>
      <c r="F116" s="30">
        <f t="shared" si="9"/>
        <v>0.23037354619383812</v>
      </c>
      <c r="G116" s="38">
        <v>482618892149</v>
      </c>
      <c r="H116" s="38">
        <v>3908921718806</v>
      </c>
      <c r="I116" s="6">
        <v>360</v>
      </c>
      <c r="J116" s="34">
        <f t="shared" si="1"/>
        <v>44.447756612202156</v>
      </c>
      <c r="K116" s="6">
        <f>427432010971+184841549144</f>
        <v>612273560115</v>
      </c>
      <c r="L116" s="6">
        <f>315274291439+465376470121</f>
        <v>780650761560</v>
      </c>
      <c r="M116" s="38">
        <v>4440404595541</v>
      </c>
      <c r="N116" s="34">
        <f t="shared" si="2"/>
        <v>63.290240363189241</v>
      </c>
      <c r="O116" s="34">
        <f t="shared" si="3"/>
        <v>7.8141922210855785</v>
      </c>
      <c r="P116" s="30">
        <f t="shared" si="4"/>
        <v>99.92380475430582</v>
      </c>
      <c r="Q116" s="38">
        <v>1687349407527</v>
      </c>
      <c r="R116" s="38">
        <v>322517672904</v>
      </c>
      <c r="S116" s="30">
        <f t="shared" si="5"/>
        <v>1364831734623</v>
      </c>
      <c r="T116" s="38">
        <v>1286017105712</v>
      </c>
      <c r="U116" s="38">
        <v>2728227483994</v>
      </c>
      <c r="V116" s="32">
        <f t="shared" si="6"/>
        <v>0.47137458780721975</v>
      </c>
      <c r="W116" s="1"/>
      <c r="X116" s="1"/>
      <c r="Y116" s="1"/>
      <c r="Z116" s="1"/>
    </row>
    <row r="117" spans="1:26" ht="15.75" customHeight="1">
      <c r="A117" s="1"/>
      <c r="B117" s="36" t="s">
        <v>126</v>
      </c>
      <c r="C117" s="38">
        <v>1667656</v>
      </c>
      <c r="D117" s="38">
        <v>1260868</v>
      </c>
      <c r="E117" s="38">
        <v>2110166</v>
      </c>
      <c r="F117" s="30">
        <f t="shared" si="9"/>
        <v>0.19277535511424221</v>
      </c>
      <c r="G117" s="38">
        <v>653016</v>
      </c>
      <c r="H117" s="38">
        <v>1784978</v>
      </c>
      <c r="I117" s="6">
        <v>360</v>
      </c>
      <c r="J117" s="34">
        <f t="shared" si="1"/>
        <v>131.70232910433631</v>
      </c>
      <c r="K117" s="6">
        <f>640327+17465</f>
        <v>657792</v>
      </c>
      <c r="L117" s="6">
        <f>669604+44953</f>
        <v>714557</v>
      </c>
      <c r="M117" s="38">
        <v>2258316</v>
      </c>
      <c r="N117" s="34">
        <f t="shared" si="2"/>
        <v>113.90811560472493</v>
      </c>
      <c r="O117" s="34">
        <f t="shared" si="3"/>
        <v>41.672122580634081</v>
      </c>
      <c r="P117" s="30">
        <f t="shared" si="4"/>
        <v>203.93832212842716</v>
      </c>
      <c r="Q117" s="38">
        <v>305671</v>
      </c>
      <c r="R117" s="38">
        <v>294724</v>
      </c>
      <c r="S117" s="30">
        <f t="shared" si="5"/>
        <v>10947</v>
      </c>
      <c r="T117" s="38">
        <v>1296044</v>
      </c>
      <c r="U117" s="38">
        <v>814122</v>
      </c>
      <c r="V117" s="32">
        <f t="shared" si="6"/>
        <v>1.591953048805953</v>
      </c>
      <c r="W117" s="1"/>
      <c r="X117" s="1"/>
      <c r="Y117" s="1"/>
      <c r="Z117" s="1"/>
    </row>
    <row r="118" spans="1:26" ht="15.75" customHeight="1">
      <c r="A118" s="1"/>
      <c r="B118" s="13" t="s">
        <v>127</v>
      </c>
      <c r="C118" s="6"/>
      <c r="D118" s="6"/>
      <c r="E118" s="6"/>
      <c r="F118" s="30" t="e">
        <f t="shared" si="9"/>
        <v>#DIV/0!</v>
      </c>
      <c r="G118" s="6"/>
      <c r="H118" s="6"/>
      <c r="I118" s="6">
        <v>360</v>
      </c>
      <c r="J118" s="34" t="e">
        <f t="shared" si="1"/>
        <v>#DIV/0!</v>
      </c>
      <c r="K118" s="6"/>
      <c r="L118" s="6"/>
      <c r="M118" s="6"/>
      <c r="N118" s="34" t="e">
        <f t="shared" si="2"/>
        <v>#DIV/0!</v>
      </c>
      <c r="O118" s="34" t="e">
        <f t="shared" si="3"/>
        <v>#DIV/0!</v>
      </c>
      <c r="P118" s="30" t="e">
        <f t="shared" si="4"/>
        <v>#DIV/0!</v>
      </c>
      <c r="Q118" s="6"/>
      <c r="R118" s="6"/>
      <c r="S118" s="30">
        <f t="shared" si="5"/>
        <v>0</v>
      </c>
      <c r="T118" s="6"/>
      <c r="U118" s="6"/>
      <c r="V118" s="32" t="e">
        <f t="shared" si="6"/>
        <v>#DIV/0!</v>
      </c>
      <c r="W118" s="1"/>
      <c r="X118" s="1"/>
      <c r="Y118" s="1"/>
      <c r="Z118" s="1"/>
    </row>
    <row r="119" spans="1:26" ht="15.75" customHeight="1">
      <c r="A119" s="1"/>
      <c r="B119" s="36" t="s">
        <v>128</v>
      </c>
      <c r="C119" s="38">
        <v>25613222</v>
      </c>
      <c r="D119" s="38">
        <v>11837685</v>
      </c>
      <c r="E119" s="38">
        <v>67203688</v>
      </c>
      <c r="F119" s="30">
        <f t="shared" si="9"/>
        <v>0.20498186051932149</v>
      </c>
      <c r="G119" s="38">
        <v>9483228</v>
      </c>
      <c r="H119" s="38">
        <v>76984273</v>
      </c>
      <c r="I119" s="6">
        <v>360</v>
      </c>
      <c r="J119" s="34">
        <f t="shared" si="1"/>
        <v>44.346227443103871</v>
      </c>
      <c r="K119" s="38">
        <v>7037578</v>
      </c>
      <c r="L119" s="38">
        <v>8598982</v>
      </c>
      <c r="M119" s="38">
        <v>85883879</v>
      </c>
      <c r="N119" s="34">
        <f t="shared" si="2"/>
        <v>36.044407356123259</v>
      </c>
      <c r="O119" s="34">
        <f t="shared" si="3"/>
        <v>4.4400930185181346</v>
      </c>
      <c r="P119" s="30">
        <f t="shared" si="4"/>
        <v>75.950541780708988</v>
      </c>
      <c r="Q119" s="38">
        <v>40411962</v>
      </c>
      <c r="R119" s="38">
        <v>32954656</v>
      </c>
      <c r="S119" s="30">
        <f t="shared" si="5"/>
        <v>7457306</v>
      </c>
      <c r="T119" s="38">
        <v>16673407</v>
      </c>
      <c r="U119" s="38">
        <v>50530281</v>
      </c>
      <c r="V119" s="32">
        <f t="shared" si="6"/>
        <v>0.32996861822319967</v>
      </c>
      <c r="W119" s="1"/>
      <c r="X119" s="1"/>
      <c r="Y119" s="1"/>
      <c r="Z119" s="1"/>
    </row>
    <row r="120" spans="1:26" ht="15.75" customHeight="1">
      <c r="A120" s="1"/>
      <c r="B120" s="14"/>
      <c r="C120" s="15"/>
      <c r="D120" s="15"/>
      <c r="E120" s="15"/>
      <c r="F120" s="30" t="e">
        <f t="shared" si="9"/>
        <v>#DIV/0!</v>
      </c>
      <c r="G120" s="15"/>
      <c r="H120" s="15"/>
      <c r="I120" s="6">
        <v>360</v>
      </c>
      <c r="J120" s="34" t="e">
        <f t="shared" si="1"/>
        <v>#DIV/0!</v>
      </c>
      <c r="K120" s="15"/>
      <c r="L120" s="15"/>
      <c r="M120" s="15"/>
      <c r="N120" s="34" t="e">
        <f t="shared" si="2"/>
        <v>#DIV/0!</v>
      </c>
      <c r="O120" s="34" t="e">
        <f t="shared" si="3"/>
        <v>#DIV/0!</v>
      </c>
      <c r="P120" s="30" t="e">
        <f t="shared" si="4"/>
        <v>#DIV/0!</v>
      </c>
      <c r="Q120" s="15"/>
      <c r="R120" s="15"/>
      <c r="S120" s="30">
        <f t="shared" si="5"/>
        <v>0</v>
      </c>
      <c r="T120" s="15"/>
      <c r="U120" s="15"/>
      <c r="V120" s="32" t="e">
        <f t="shared" si="6"/>
        <v>#DIV/0!</v>
      </c>
      <c r="W120" s="1"/>
      <c r="X120" s="1"/>
      <c r="Y120" s="1"/>
      <c r="Z120" s="1"/>
    </row>
    <row r="121" spans="1:26" ht="15.75" customHeight="1">
      <c r="A121" s="1"/>
      <c r="B121" s="17"/>
      <c r="C121" s="18"/>
      <c r="D121" s="18"/>
      <c r="E121" s="18"/>
      <c r="F121" s="30" t="e">
        <f t="shared" si="9"/>
        <v>#DIV/0!</v>
      </c>
      <c r="G121" s="18"/>
      <c r="H121" s="18"/>
      <c r="I121" s="6">
        <v>360</v>
      </c>
      <c r="J121" s="34" t="e">
        <f t="shared" si="1"/>
        <v>#DIV/0!</v>
      </c>
      <c r="K121" s="18"/>
      <c r="L121" s="18"/>
      <c r="M121" s="18"/>
      <c r="N121" s="34" t="e">
        <f t="shared" si="2"/>
        <v>#DIV/0!</v>
      </c>
      <c r="O121" s="34" t="e">
        <f t="shared" si="3"/>
        <v>#DIV/0!</v>
      </c>
      <c r="P121" s="30" t="e">
        <f t="shared" si="4"/>
        <v>#DIV/0!</v>
      </c>
      <c r="Q121" s="18"/>
      <c r="R121" s="18"/>
      <c r="S121" s="30">
        <f t="shared" si="5"/>
        <v>0</v>
      </c>
      <c r="T121" s="18"/>
      <c r="U121" s="18"/>
      <c r="V121" s="32" t="e">
        <f t="shared" si="6"/>
        <v>#DIV/0!</v>
      </c>
      <c r="W121" s="1"/>
      <c r="X121" s="1"/>
      <c r="Y121" s="1"/>
      <c r="Z121" s="1"/>
    </row>
    <row r="122" spans="1:26" ht="15.75" customHeight="1">
      <c r="A122" s="1"/>
      <c r="B122" s="20" t="s">
        <v>129</v>
      </c>
      <c r="C122" s="6"/>
      <c r="D122" s="6"/>
      <c r="E122" s="6"/>
      <c r="F122" s="30" t="e">
        <f t="shared" si="9"/>
        <v>#DIV/0!</v>
      </c>
      <c r="G122" s="6"/>
      <c r="H122" s="6"/>
      <c r="I122" s="6">
        <v>360</v>
      </c>
      <c r="J122" s="34" t="e">
        <f t="shared" si="1"/>
        <v>#DIV/0!</v>
      </c>
      <c r="K122" s="6"/>
      <c r="L122" s="6"/>
      <c r="M122" s="6"/>
      <c r="N122" s="34" t="e">
        <f t="shared" si="2"/>
        <v>#DIV/0!</v>
      </c>
      <c r="O122" s="34" t="e">
        <f t="shared" si="3"/>
        <v>#DIV/0!</v>
      </c>
      <c r="P122" s="30" t="e">
        <f t="shared" si="4"/>
        <v>#DIV/0!</v>
      </c>
      <c r="Q122" s="6"/>
      <c r="R122" s="6"/>
      <c r="S122" s="30">
        <f t="shared" si="5"/>
        <v>0</v>
      </c>
      <c r="T122" s="6"/>
      <c r="U122" s="6"/>
      <c r="V122" s="32" t="e">
        <f t="shared" si="6"/>
        <v>#DIV/0!</v>
      </c>
      <c r="W122" s="1"/>
      <c r="X122" s="1"/>
      <c r="Y122" s="1"/>
      <c r="Z122" s="1"/>
    </row>
    <row r="123" spans="1:26" ht="15.75" customHeight="1">
      <c r="A123" s="1"/>
      <c r="B123" s="5" t="s">
        <v>130</v>
      </c>
      <c r="C123" s="6"/>
      <c r="D123" s="6"/>
      <c r="E123" s="6"/>
      <c r="F123" s="30" t="e">
        <f t="shared" si="9"/>
        <v>#DIV/0!</v>
      </c>
      <c r="G123" s="6"/>
      <c r="H123" s="6"/>
      <c r="I123" s="6">
        <v>360</v>
      </c>
      <c r="J123" s="34" t="e">
        <f t="shared" si="1"/>
        <v>#DIV/0!</v>
      </c>
      <c r="K123" s="6"/>
      <c r="L123" s="6"/>
      <c r="M123" s="6"/>
      <c r="N123" s="34" t="e">
        <f t="shared" si="2"/>
        <v>#DIV/0!</v>
      </c>
      <c r="O123" s="34" t="e">
        <f t="shared" si="3"/>
        <v>#DIV/0!</v>
      </c>
      <c r="P123" s="30" t="e">
        <f t="shared" si="4"/>
        <v>#DIV/0!</v>
      </c>
      <c r="Q123" s="6"/>
      <c r="R123" s="6"/>
      <c r="S123" s="30">
        <f t="shared" si="5"/>
        <v>0</v>
      </c>
      <c r="T123" s="6"/>
      <c r="U123" s="6"/>
      <c r="V123" s="32" t="e">
        <f t="shared" si="6"/>
        <v>#DIV/0!</v>
      </c>
      <c r="W123" s="1"/>
      <c r="X123" s="1"/>
      <c r="Y123" s="1"/>
      <c r="Z123" s="1"/>
    </row>
    <row r="124" spans="1:26" ht="15.75" customHeight="1">
      <c r="A124" s="1"/>
      <c r="B124" s="36" t="s">
        <v>131</v>
      </c>
      <c r="C124" s="38">
        <v>1206576189</v>
      </c>
      <c r="D124" s="38">
        <v>139684908</v>
      </c>
      <c r="E124" s="38">
        <v>1340842765</v>
      </c>
      <c r="F124" s="30">
        <f t="shared" si="9"/>
        <v>0.79568709236388357</v>
      </c>
      <c r="G124" s="38">
        <v>178863917</v>
      </c>
      <c r="H124" s="38">
        <v>203036967</v>
      </c>
      <c r="I124" s="6">
        <v>360</v>
      </c>
      <c r="J124" s="34">
        <f t="shared" si="1"/>
        <v>317.13934201942646</v>
      </c>
      <c r="K124" s="6">
        <f>803085+34194225</f>
        <v>34997310</v>
      </c>
      <c r="L124" s="6">
        <f>57584+145972031</f>
        <v>146029615</v>
      </c>
      <c r="M124" s="38">
        <v>777308328</v>
      </c>
      <c r="N124" s="34">
        <f t="shared" si="2"/>
        <v>67.631671379699924</v>
      </c>
      <c r="O124" s="34">
        <f t="shared" si="3"/>
        <v>59.579621558422531</v>
      </c>
      <c r="P124" s="30">
        <f t="shared" si="4"/>
        <v>325.19139184070389</v>
      </c>
      <c r="Q124" s="38">
        <v>89978944</v>
      </c>
      <c r="R124" s="38">
        <v>96275498</v>
      </c>
      <c r="S124" s="30">
        <f t="shared" si="5"/>
        <v>-6296554</v>
      </c>
      <c r="T124" s="38">
        <v>196197372</v>
      </c>
      <c r="U124" s="38">
        <v>1144645393</v>
      </c>
      <c r="V124" s="32">
        <f t="shared" si="6"/>
        <v>0.17140450064258461</v>
      </c>
      <c r="W124" s="1"/>
      <c r="X124" s="1"/>
      <c r="Y124" s="1"/>
      <c r="Z124" s="1"/>
    </row>
    <row r="125" spans="1:26" ht="15.75" customHeight="1">
      <c r="A125" s="1"/>
      <c r="B125" s="36" t="s">
        <v>132</v>
      </c>
      <c r="C125" s="38">
        <v>16579331</v>
      </c>
      <c r="D125" s="38">
        <v>6827588</v>
      </c>
      <c r="E125" s="38">
        <v>31619514</v>
      </c>
      <c r="F125" s="30">
        <f t="shared" si="9"/>
        <v>0.30840900970204665</v>
      </c>
      <c r="G125" s="38">
        <v>3261635</v>
      </c>
      <c r="H125" s="38">
        <v>24547757</v>
      </c>
      <c r="I125" s="6">
        <v>360</v>
      </c>
      <c r="J125" s="34">
        <f t="shared" si="1"/>
        <v>47.832826437054919</v>
      </c>
      <c r="K125" s="6">
        <f>2098222+806011</f>
        <v>2904233</v>
      </c>
      <c r="L125" s="6">
        <f>1096176+2775076</f>
        <v>3871252</v>
      </c>
      <c r="M125" s="38">
        <v>35606593</v>
      </c>
      <c r="N125" s="34">
        <f t="shared" si="2"/>
        <v>39.140243493669836</v>
      </c>
      <c r="O125" s="34">
        <f t="shared" si="3"/>
        <v>5.2005235381577153</v>
      </c>
      <c r="P125" s="30">
        <f t="shared" si="4"/>
        <v>81.772546392567051</v>
      </c>
      <c r="Q125" s="38">
        <v>8120254</v>
      </c>
      <c r="R125" s="38">
        <v>7114288</v>
      </c>
      <c r="S125" s="30">
        <f t="shared" si="5"/>
        <v>1005966</v>
      </c>
      <c r="T125" s="38">
        <v>11295184</v>
      </c>
      <c r="U125" s="38">
        <v>20324330</v>
      </c>
      <c r="V125" s="32">
        <f t="shared" si="6"/>
        <v>0.55574692991109675</v>
      </c>
      <c r="W125" s="1"/>
      <c r="X125" s="1"/>
      <c r="Y125" s="1"/>
      <c r="Z125" s="1"/>
    </row>
    <row r="126" spans="1:26" ht="15.75" customHeight="1">
      <c r="A126" s="1"/>
      <c r="B126" s="36" t="s">
        <v>133</v>
      </c>
      <c r="C126" s="38">
        <v>32515399</v>
      </c>
      <c r="D126" s="38">
        <v>21637763</v>
      </c>
      <c r="E126" s="38">
        <v>87939488</v>
      </c>
      <c r="F126" s="30">
        <f t="shared" si="9"/>
        <v>0.12369455687529134</v>
      </c>
      <c r="G126" s="38">
        <v>9690981</v>
      </c>
      <c r="H126" s="38">
        <v>50318096</v>
      </c>
      <c r="I126" s="6">
        <v>360</v>
      </c>
      <c r="J126" s="34">
        <f t="shared" si="1"/>
        <v>69.333966054677433</v>
      </c>
      <c r="K126" s="6">
        <f>3361953+714034</f>
        <v>4075987</v>
      </c>
      <c r="L126" s="6">
        <f>3941053+1098680</f>
        <v>5039733</v>
      </c>
      <c r="M126" s="38">
        <v>70186618</v>
      </c>
      <c r="N126" s="34">
        <f t="shared" si="2"/>
        <v>25.849712262813402</v>
      </c>
      <c r="O126" s="34">
        <f t="shared" si="3"/>
        <v>4.9785085348696754</v>
      </c>
      <c r="P126" s="30">
        <f t="shared" si="4"/>
        <v>90.205169782621155</v>
      </c>
      <c r="Q126" s="38">
        <v>29787303</v>
      </c>
      <c r="R126" s="38">
        <v>25701913</v>
      </c>
      <c r="S126" s="30">
        <f t="shared" si="5"/>
        <v>4085390</v>
      </c>
      <c r="T126" s="38">
        <v>41182764</v>
      </c>
      <c r="U126" s="38">
        <v>46756724</v>
      </c>
      <c r="V126" s="32">
        <f t="shared" si="6"/>
        <v>0.88078805521105374</v>
      </c>
      <c r="W126" s="1"/>
      <c r="X126" s="1"/>
      <c r="Y126" s="1"/>
      <c r="Z126" s="1"/>
    </row>
    <row r="127" spans="1:26" ht="15.75" customHeight="1">
      <c r="A127" s="1"/>
      <c r="B127" s="36" t="s">
        <v>134</v>
      </c>
      <c r="C127" s="38">
        <v>10674199571313</v>
      </c>
      <c r="D127" s="38">
        <v>4473628322956</v>
      </c>
      <c r="E127" s="38">
        <v>14915849800251</v>
      </c>
      <c r="F127" s="30">
        <f t="shared" si="9"/>
        <v>0.415703518833547</v>
      </c>
      <c r="G127" s="38">
        <v>1825267160976</v>
      </c>
      <c r="H127" s="38">
        <v>15841619191077</v>
      </c>
      <c r="I127" s="6">
        <v>360</v>
      </c>
      <c r="J127" s="34">
        <f t="shared" si="1"/>
        <v>41.479104504764138</v>
      </c>
      <c r="K127" s="6">
        <f>1665605703199+51612825968</f>
        <v>1717218529167</v>
      </c>
      <c r="L127" s="6">
        <f>971383336411+4772738482114</f>
        <v>5744121818525</v>
      </c>
      <c r="M127" s="38">
        <v>20816673946473</v>
      </c>
      <c r="N127" s="34">
        <f t="shared" si="2"/>
        <v>99.337860600894146</v>
      </c>
      <c r="O127" s="34">
        <f t="shared" si="3"/>
        <v>11.445681947622724</v>
      </c>
      <c r="P127" s="30">
        <f t="shared" si="4"/>
        <v>129.37128315803557</v>
      </c>
      <c r="Q127" s="38">
        <v>3988757428380</v>
      </c>
      <c r="R127" s="38">
        <v>3859420029792</v>
      </c>
      <c r="S127" s="30">
        <f t="shared" si="5"/>
        <v>129337398588</v>
      </c>
      <c r="T127" s="38">
        <v>7561503434179</v>
      </c>
      <c r="U127" s="38">
        <v>7354346366072</v>
      </c>
      <c r="V127" s="32">
        <f t="shared" si="6"/>
        <v>1.0281679781989441</v>
      </c>
      <c r="W127" s="1"/>
      <c r="X127" s="1"/>
      <c r="Y127" s="1"/>
      <c r="Z127" s="1"/>
    </row>
    <row r="128" spans="1:26" ht="15.75" customHeight="1">
      <c r="A128" s="1"/>
      <c r="B128" s="36" t="s">
        <v>135</v>
      </c>
      <c r="C128" s="38">
        <v>1076845</v>
      </c>
      <c r="D128" s="38">
        <v>1304114</v>
      </c>
      <c r="E128" s="38">
        <v>2510278</v>
      </c>
      <c r="F128" s="30">
        <f t="shared" si="9"/>
        <v>-9.0535390900928103E-2</v>
      </c>
      <c r="G128" s="38">
        <v>171620</v>
      </c>
      <c r="H128" s="38">
        <v>1118032</v>
      </c>
      <c r="I128" s="6">
        <v>360</v>
      </c>
      <c r="J128" s="34">
        <f t="shared" si="1"/>
        <v>55.260672324226853</v>
      </c>
      <c r="K128" s="6">
        <f>171573+21710</f>
        <v>193283</v>
      </c>
      <c r="L128" s="6">
        <f>560248+12149</f>
        <v>572397</v>
      </c>
      <c r="M128" s="38">
        <v>3389736</v>
      </c>
      <c r="N128" s="34">
        <f t="shared" si="2"/>
        <v>60.790256232343758</v>
      </c>
      <c r="O128" s="34">
        <f t="shared" si="3"/>
        <v>9.331417861559272</v>
      </c>
      <c r="P128" s="30">
        <f t="shared" si="4"/>
        <v>106.71951069501134</v>
      </c>
      <c r="Q128" s="38">
        <v>1364086</v>
      </c>
      <c r="R128" s="38">
        <v>1278015</v>
      </c>
      <c r="S128" s="30">
        <f t="shared" si="5"/>
        <v>86071</v>
      </c>
      <c r="T128" s="38">
        <v>1445173</v>
      </c>
      <c r="U128" s="38">
        <v>1064905</v>
      </c>
      <c r="V128" s="32">
        <f t="shared" si="6"/>
        <v>1.3570910081180951</v>
      </c>
      <c r="W128" s="1"/>
      <c r="X128" s="1"/>
      <c r="Y128" s="1"/>
      <c r="Z128" s="1"/>
    </row>
    <row r="129" spans="1:26" ht="15.75" customHeight="1">
      <c r="A129" s="1"/>
      <c r="B129" s="36" t="s">
        <v>136</v>
      </c>
      <c r="C129" s="38">
        <v>2319937439019</v>
      </c>
      <c r="D129" s="38">
        <v>1027176531240</v>
      </c>
      <c r="E129" s="38">
        <v>4559573709411</v>
      </c>
      <c r="F129" s="30">
        <f t="shared" si="9"/>
        <v>0.28352670450545192</v>
      </c>
      <c r="G129" s="38">
        <v>50264253248</v>
      </c>
      <c r="H129" s="38">
        <v>1183169352508</v>
      </c>
      <c r="I129" s="6">
        <v>360</v>
      </c>
      <c r="J129" s="34">
        <f t="shared" si="1"/>
        <v>15.293779483827231</v>
      </c>
      <c r="K129" s="6">
        <f>95574720224+54496677667</f>
        <v>150071397891</v>
      </c>
      <c r="L129" s="6">
        <f>164515198562+160402331673</f>
        <v>324917530235</v>
      </c>
      <c r="M129" s="38">
        <v>2490100179560</v>
      </c>
      <c r="N129" s="34">
        <f t="shared" si="2"/>
        <v>46.974138568701527</v>
      </c>
      <c r="O129" s="34">
        <f t="shared" si="3"/>
        <v>1.9955892130901802</v>
      </c>
      <c r="P129" s="30">
        <f t="shared" si="4"/>
        <v>60.272328839438579</v>
      </c>
      <c r="Q129" s="38">
        <v>1993663314016</v>
      </c>
      <c r="R129" s="38">
        <v>1842722492525</v>
      </c>
      <c r="S129" s="30">
        <f t="shared" si="5"/>
        <v>150940821491</v>
      </c>
      <c r="T129" s="38">
        <v>1739467993982</v>
      </c>
      <c r="U129" s="38">
        <v>2820105715429</v>
      </c>
      <c r="V129" s="32">
        <f t="shared" si="6"/>
        <v>0.61680949918481642</v>
      </c>
      <c r="W129" s="1"/>
      <c r="X129" s="1"/>
      <c r="Y129" s="1"/>
      <c r="Z129" s="1"/>
    </row>
    <row r="130" spans="1:26" ht="15.75" customHeight="1">
      <c r="A130" s="1"/>
      <c r="B130" s="36" t="s">
        <v>137</v>
      </c>
      <c r="C130" s="38">
        <v>387041829491</v>
      </c>
      <c r="D130" s="38">
        <v>333943749875</v>
      </c>
      <c r="E130" s="38">
        <v>690979867049</v>
      </c>
      <c r="F130" s="30">
        <f t="shared" si="9"/>
        <v>7.6844611758036377E-2</v>
      </c>
      <c r="G130" s="38">
        <v>237936194381</v>
      </c>
      <c r="H130" s="38">
        <v>1204486947065</v>
      </c>
      <c r="I130" s="6">
        <v>360</v>
      </c>
      <c r="J130" s="34">
        <f t="shared" si="1"/>
        <v>71.114950797833373</v>
      </c>
      <c r="K130" s="38">
        <v>2611294833</v>
      </c>
      <c r="L130" s="38">
        <v>94365538924</v>
      </c>
      <c r="M130" s="38">
        <v>1399580416996</v>
      </c>
      <c r="N130" s="34">
        <f t="shared" si="2"/>
        <v>24.272698874677875</v>
      </c>
      <c r="O130" s="34">
        <f t="shared" si="3"/>
        <v>4.7948660727870633</v>
      </c>
      <c r="P130" s="30">
        <f t="shared" si="4"/>
        <v>90.592783599724186</v>
      </c>
      <c r="Q130" s="38">
        <v>269910638722</v>
      </c>
      <c r="R130" s="38">
        <v>282157452287</v>
      </c>
      <c r="S130" s="30">
        <f t="shared" si="5"/>
        <v>-12246813565</v>
      </c>
      <c r="T130" s="38">
        <v>391494545681</v>
      </c>
      <c r="U130" s="38">
        <v>299485321368</v>
      </c>
      <c r="V130" s="32">
        <f t="shared" si="6"/>
        <v>1.3072244873061454</v>
      </c>
      <c r="W130" s="1"/>
      <c r="X130" s="1"/>
      <c r="Y130" s="1"/>
      <c r="Z130" s="1"/>
    </row>
    <row r="131" spans="1:26" ht="15.75" customHeight="1">
      <c r="A131" s="1"/>
      <c r="B131" s="36" t="s">
        <v>138</v>
      </c>
      <c r="C131" s="38">
        <v>836639597232</v>
      </c>
      <c r="D131" s="38">
        <v>511596750506</v>
      </c>
      <c r="E131" s="38">
        <v>1623027475045</v>
      </c>
      <c r="F131" s="30">
        <f t="shared" si="9"/>
        <v>0.20026946661330416</v>
      </c>
      <c r="G131" s="38">
        <v>293162796955</v>
      </c>
      <c r="H131" s="38">
        <v>1655321857120</v>
      </c>
      <c r="I131" s="6">
        <v>360</v>
      </c>
      <c r="J131" s="34">
        <f t="shared" si="1"/>
        <v>63.757151788849448</v>
      </c>
      <c r="K131" s="6">
        <f>502375330+139722234727</f>
        <v>140224610057</v>
      </c>
      <c r="L131" s="6">
        <f>10560917832+189951187258</f>
        <v>200512105090</v>
      </c>
      <c r="M131" s="38">
        <v>1841487199828</v>
      </c>
      <c r="N131" s="34">
        <f t="shared" si="2"/>
        <v>39.198946285992221</v>
      </c>
      <c r="O131" s="34">
        <f t="shared" si="3"/>
        <v>6.9422588008860071</v>
      </c>
      <c r="P131" s="30">
        <f t="shared" si="4"/>
        <v>96.013839273955654</v>
      </c>
      <c r="Q131" s="38">
        <v>485558490029</v>
      </c>
      <c r="R131" s="38">
        <v>436018707335</v>
      </c>
      <c r="S131" s="30">
        <f t="shared" si="5"/>
        <v>49539782694</v>
      </c>
      <c r="T131" s="38">
        <v>599790014646</v>
      </c>
      <c r="U131" s="38">
        <v>1023237460399</v>
      </c>
      <c r="V131" s="32">
        <f t="shared" si="6"/>
        <v>0.58616893718112961</v>
      </c>
      <c r="W131" s="1"/>
      <c r="X131" s="1"/>
      <c r="Y131" s="1"/>
      <c r="Z131" s="1"/>
    </row>
    <row r="132" spans="1:26" ht="15.75" customHeight="1">
      <c r="A132" s="1"/>
      <c r="B132" s="36" t="s">
        <v>139</v>
      </c>
      <c r="C132" s="38">
        <v>267129479669</v>
      </c>
      <c r="D132" s="38">
        <v>211493160519</v>
      </c>
      <c r="E132" s="38">
        <v>636284210210</v>
      </c>
      <c r="F132" s="30">
        <f t="shared" si="9"/>
        <v>8.7439415055793585E-2</v>
      </c>
      <c r="G132" s="38">
        <v>120795774143</v>
      </c>
      <c r="H132" s="38">
        <v>677184873211</v>
      </c>
      <c r="I132" s="6">
        <v>360</v>
      </c>
      <c r="J132" s="34">
        <f t="shared" si="1"/>
        <v>64.216553576101973</v>
      </c>
      <c r="K132" s="6">
        <f>59028195798+8431951250</f>
        <v>67460147048</v>
      </c>
      <c r="L132" s="6">
        <f>116147932953+4148367464</f>
        <v>120296300417</v>
      </c>
      <c r="M132" s="38">
        <v>914188459779</v>
      </c>
      <c r="N132" s="34">
        <f t="shared" si="2"/>
        <v>47.371707317973744</v>
      </c>
      <c r="O132" s="34">
        <f t="shared" si="3"/>
        <v>8.4501327249335638</v>
      </c>
      <c r="P132" s="30">
        <f t="shared" si="4"/>
        <v>103.13812816914215</v>
      </c>
      <c r="Q132" s="38">
        <v>311810228981</v>
      </c>
      <c r="R132" s="38">
        <v>299674745232</v>
      </c>
      <c r="S132" s="30">
        <f t="shared" si="5"/>
        <v>12135483749</v>
      </c>
      <c r="T132" s="38">
        <v>328714435982</v>
      </c>
      <c r="U132" s="38">
        <v>307569774228</v>
      </c>
      <c r="V132" s="32">
        <f t="shared" si="6"/>
        <v>1.0687475282871117</v>
      </c>
      <c r="W132" s="1"/>
      <c r="X132" s="1"/>
      <c r="Y132" s="1"/>
      <c r="Z132" s="1"/>
    </row>
    <row r="133" spans="1:26" ht="15.75" customHeight="1">
      <c r="A133" s="1"/>
      <c r="B133" s="36" t="s">
        <v>140</v>
      </c>
      <c r="C133" s="38">
        <v>947986050367</v>
      </c>
      <c r="D133" s="38">
        <v>358963437494</v>
      </c>
      <c r="E133" s="38">
        <v>2342432443196</v>
      </c>
      <c r="F133" s="30">
        <f t="shared" si="9"/>
        <v>0.25145767366052241</v>
      </c>
      <c r="G133" s="38">
        <v>299078174645</v>
      </c>
      <c r="H133" s="38">
        <v>2211949522001</v>
      </c>
      <c r="I133" s="6">
        <v>360</v>
      </c>
      <c r="J133" s="34">
        <f t="shared" si="1"/>
        <v>48.675678084552295</v>
      </c>
      <c r="K133" s="38">
        <v>191057166317</v>
      </c>
      <c r="L133" s="6">
        <f>122580584762+247714130353</f>
        <v>370294715115</v>
      </c>
      <c r="M133" s="38">
        <v>2825409180889</v>
      </c>
      <c r="N133" s="34">
        <f t="shared" si="2"/>
        <v>47.181165242570614</v>
      </c>
      <c r="O133" s="34">
        <f t="shared" si="3"/>
        <v>6.3793755861150965</v>
      </c>
      <c r="P133" s="30">
        <f t="shared" si="4"/>
        <v>89.4774677410078</v>
      </c>
      <c r="Q133" s="38">
        <v>1125768977479</v>
      </c>
      <c r="R133" s="38">
        <v>1107152196056</v>
      </c>
      <c r="S133" s="30">
        <f t="shared" si="5"/>
        <v>18616781423</v>
      </c>
      <c r="T133" s="38">
        <v>957660374836</v>
      </c>
      <c r="U133" s="38">
        <v>1384772068360</v>
      </c>
      <c r="V133" s="32">
        <f t="shared" si="6"/>
        <v>0.6915653461801603</v>
      </c>
      <c r="W133" s="1"/>
      <c r="X133" s="1"/>
      <c r="Y133" s="1"/>
      <c r="Z133" s="1"/>
    </row>
    <row r="134" spans="1:26" ht="15.75" customHeight="1">
      <c r="A134" s="1"/>
      <c r="B134" s="36" t="s">
        <v>141</v>
      </c>
      <c r="C134" s="38">
        <v>4536882</v>
      </c>
      <c r="D134" s="38">
        <v>3902708</v>
      </c>
      <c r="E134" s="38">
        <v>8724734</v>
      </c>
      <c r="F134" s="30">
        <f t="shared" si="9"/>
        <v>7.268691515408951E-2</v>
      </c>
      <c r="G134" s="38">
        <v>1401390</v>
      </c>
      <c r="H134" s="38">
        <v>4294396</v>
      </c>
      <c r="I134" s="6">
        <v>360</v>
      </c>
      <c r="J134" s="34">
        <f t="shared" si="1"/>
        <v>117.4787793207706</v>
      </c>
      <c r="K134" s="6">
        <f>8004+167968</f>
        <v>175972</v>
      </c>
      <c r="L134" s="38">
        <v>2114677</v>
      </c>
      <c r="M134" s="38">
        <v>4920632</v>
      </c>
      <c r="N134" s="34">
        <f t="shared" si="2"/>
        <v>154.71258976489199</v>
      </c>
      <c r="O134" s="34">
        <f t="shared" si="3"/>
        <v>50.487350530929611</v>
      </c>
      <c r="P134" s="30">
        <f t="shared" si="4"/>
        <v>221.70401855473298</v>
      </c>
      <c r="Q134" s="38">
        <v>3178987</v>
      </c>
      <c r="R134" s="38">
        <v>2587235</v>
      </c>
      <c r="S134" s="30">
        <f t="shared" si="5"/>
        <v>591752</v>
      </c>
      <c r="T134" s="38">
        <v>5319855</v>
      </c>
      <c r="U134" s="38">
        <v>3404879</v>
      </c>
      <c r="V134" s="32">
        <f t="shared" si="6"/>
        <v>1.5624211609281857</v>
      </c>
      <c r="W134" s="1"/>
      <c r="X134" s="1"/>
      <c r="Y134" s="1"/>
      <c r="Z134" s="1"/>
    </row>
    <row r="135" spans="1:26" ht="15.75" customHeight="1">
      <c r="A135" s="1"/>
      <c r="B135" s="36" t="s">
        <v>142</v>
      </c>
      <c r="C135" s="38">
        <v>192943940639</v>
      </c>
      <c r="D135" s="38">
        <v>179485187884</v>
      </c>
      <c r="E135" s="38">
        <v>1109383971111</v>
      </c>
      <c r="F135" s="30">
        <f t="shared" si="9"/>
        <v>1.2131735364376719E-2</v>
      </c>
      <c r="G135" s="38">
        <v>125753902334</v>
      </c>
      <c r="H135" s="38">
        <v>220973146395</v>
      </c>
      <c r="I135" s="6">
        <v>360</v>
      </c>
      <c r="J135" s="34">
        <f t="shared" si="1"/>
        <v>204.87287970871907</v>
      </c>
      <c r="K135" s="6">
        <f>25495976218+32945564076</f>
        <v>58441540294</v>
      </c>
      <c r="L135" s="6">
        <f>40595404346+554154210</f>
        <v>41149558556</v>
      </c>
      <c r="M135" s="38">
        <v>262143990839</v>
      </c>
      <c r="N135" s="34">
        <f t="shared" si="2"/>
        <v>56.510321036724285</v>
      </c>
      <c r="O135" s="34">
        <f t="shared" si="3"/>
        <v>32.159533900160866</v>
      </c>
      <c r="P135" s="30">
        <f t="shared" si="4"/>
        <v>229.22366684528248</v>
      </c>
      <c r="Q135" s="38">
        <v>893121939349</v>
      </c>
      <c r="R135" s="38">
        <v>605273515445</v>
      </c>
      <c r="S135" s="30">
        <f t="shared" si="5"/>
        <v>287848423904</v>
      </c>
      <c r="T135" s="38">
        <v>690099182411</v>
      </c>
      <c r="U135" s="38">
        <v>419284788700</v>
      </c>
      <c r="V135" s="32">
        <f t="shared" si="6"/>
        <v>1.6458960616021032</v>
      </c>
      <c r="W135" s="1"/>
      <c r="X135" s="1"/>
      <c r="Y135" s="1"/>
      <c r="Z135" s="1"/>
    </row>
    <row r="136" spans="1:26" ht="15.75" customHeight="1">
      <c r="A136" s="1"/>
      <c r="B136" s="36" t="s">
        <v>143</v>
      </c>
      <c r="C136" s="38">
        <v>3439990</v>
      </c>
      <c r="D136" s="38">
        <v>820625</v>
      </c>
      <c r="E136" s="38">
        <v>5186940</v>
      </c>
      <c r="F136" s="30">
        <f t="shared" si="9"/>
        <v>0.50499234616170618</v>
      </c>
      <c r="G136" s="38">
        <v>682624</v>
      </c>
      <c r="H136" s="38">
        <v>3056681</v>
      </c>
      <c r="I136" s="6">
        <v>360</v>
      </c>
      <c r="J136" s="34">
        <f t="shared" si="1"/>
        <v>80.395906540460061</v>
      </c>
      <c r="K136" s="38">
        <v>534492</v>
      </c>
      <c r="L136" s="38">
        <v>504629</v>
      </c>
      <c r="M136" s="38">
        <v>4879559</v>
      </c>
      <c r="N136" s="34">
        <f t="shared" si="2"/>
        <v>37.230093949063836</v>
      </c>
      <c r="O136" s="34">
        <f t="shared" si="3"/>
        <v>8.3142976489485658</v>
      </c>
      <c r="P136" s="30">
        <f t="shared" si="4"/>
        <v>109.31170284057534</v>
      </c>
      <c r="Q136" s="38">
        <v>1336398</v>
      </c>
      <c r="R136" s="38">
        <v>1042072</v>
      </c>
      <c r="S136" s="30">
        <f t="shared" si="5"/>
        <v>294326</v>
      </c>
      <c r="T136" s="38">
        <v>978185</v>
      </c>
      <c r="U136" s="38">
        <v>4208755</v>
      </c>
      <c r="V136" s="32">
        <f t="shared" si="6"/>
        <v>0.23241671230565808</v>
      </c>
      <c r="W136" s="1"/>
      <c r="X136" s="1"/>
      <c r="Y136" s="1"/>
      <c r="Z136" s="1"/>
    </row>
    <row r="137" spans="1:26" ht="15.75" customHeight="1">
      <c r="A137" s="1"/>
      <c r="B137" s="36" t="s">
        <v>144</v>
      </c>
      <c r="C137" s="38">
        <v>988479957549</v>
      </c>
      <c r="D137" s="38">
        <v>444383077820</v>
      </c>
      <c r="E137" s="38">
        <v>1392636444504</v>
      </c>
      <c r="F137" s="30">
        <f t="shared" si="9"/>
        <v>0.39069556299223879</v>
      </c>
      <c r="G137" s="38">
        <v>415268436704</v>
      </c>
      <c r="H137" s="38">
        <v>3973458868193</v>
      </c>
      <c r="I137" s="6">
        <v>360</v>
      </c>
      <c r="J137" s="34">
        <f t="shared" si="1"/>
        <v>37.623803887877216</v>
      </c>
      <c r="K137" s="6">
        <f>50541533995+79394188852</f>
        <v>129935722847</v>
      </c>
      <c r="L137" s="6">
        <f>224844132712+65062484489</f>
        <v>289906617201</v>
      </c>
      <c r="M137" s="38">
        <v>4257738486908</v>
      </c>
      <c r="N137" s="34">
        <f t="shared" si="2"/>
        <v>24.512163561306838</v>
      </c>
      <c r="O137" s="34">
        <f t="shared" si="3"/>
        <v>2.5617800963838291</v>
      </c>
      <c r="P137" s="30">
        <f t="shared" si="4"/>
        <v>59.574187352800223</v>
      </c>
      <c r="Q137" s="38">
        <v>212312805803</v>
      </c>
      <c r="R137" s="38">
        <v>215976492549</v>
      </c>
      <c r="S137" s="30">
        <f t="shared" si="5"/>
        <v>-3663686746</v>
      </c>
      <c r="T137" s="38">
        <v>489592257434</v>
      </c>
      <c r="U137" s="38">
        <v>903044187067</v>
      </c>
      <c r="V137" s="32">
        <f t="shared" si="6"/>
        <v>0.54215758702145922</v>
      </c>
      <c r="W137" s="1"/>
      <c r="X137" s="1"/>
      <c r="Y137" s="1"/>
      <c r="Z137" s="1"/>
    </row>
    <row r="138" spans="1:26" ht="15.75" customHeight="1">
      <c r="A138" s="1"/>
      <c r="B138" s="12" t="s">
        <v>145</v>
      </c>
      <c r="C138" s="6"/>
      <c r="D138" s="6"/>
      <c r="E138" s="6"/>
      <c r="F138" s="30" t="e">
        <f t="shared" si="9"/>
        <v>#DIV/0!</v>
      </c>
      <c r="G138" s="6"/>
      <c r="H138" s="6"/>
      <c r="I138" s="6">
        <v>360</v>
      </c>
      <c r="J138" s="34" t="e">
        <f t="shared" si="1"/>
        <v>#DIV/0!</v>
      </c>
      <c r="K138" s="6"/>
      <c r="L138" s="6"/>
      <c r="M138" s="6"/>
      <c r="N138" s="34" t="e">
        <f t="shared" si="2"/>
        <v>#DIV/0!</v>
      </c>
      <c r="O138" s="34" t="e">
        <f t="shared" si="3"/>
        <v>#DIV/0!</v>
      </c>
      <c r="P138" s="30" t="e">
        <f t="shared" si="4"/>
        <v>#DIV/0!</v>
      </c>
      <c r="Q138" s="6"/>
      <c r="R138" s="6"/>
      <c r="S138" s="30">
        <f t="shared" si="5"/>
        <v>0</v>
      </c>
      <c r="T138" s="6"/>
      <c r="U138" s="6"/>
      <c r="V138" s="32" t="e">
        <f t="shared" si="6"/>
        <v>#DIV/0!</v>
      </c>
      <c r="W138" s="1"/>
      <c r="X138" s="1"/>
      <c r="Y138" s="1"/>
      <c r="Z138" s="1"/>
    </row>
    <row r="139" spans="1:26" ht="15.75" customHeight="1">
      <c r="A139" s="1"/>
      <c r="B139" s="36" t="s">
        <v>146</v>
      </c>
      <c r="C139" s="38">
        <v>9005061</v>
      </c>
      <c r="D139" s="38">
        <v>4687842</v>
      </c>
      <c r="E139" s="38">
        <v>14083598</v>
      </c>
      <c r="F139" s="30">
        <f t="shared" si="9"/>
        <v>0.30654233385531171</v>
      </c>
      <c r="G139" s="38">
        <v>5814958</v>
      </c>
      <c r="H139" s="38">
        <v>18160870</v>
      </c>
      <c r="I139" s="6">
        <v>360</v>
      </c>
      <c r="J139" s="34">
        <f t="shared" si="1"/>
        <v>115.26897555018014</v>
      </c>
      <c r="K139" s="6">
        <f>123374+388803</f>
        <v>512177</v>
      </c>
      <c r="L139" s="6">
        <f>206696+1342581</f>
        <v>1549277</v>
      </c>
      <c r="M139" s="38">
        <v>20258870</v>
      </c>
      <c r="N139" s="34">
        <f t="shared" si="2"/>
        <v>27.53064312076636</v>
      </c>
      <c r="O139" s="34">
        <f t="shared" si="3"/>
        <v>8.8150806354676465</v>
      </c>
      <c r="P139" s="30">
        <f t="shared" si="4"/>
        <v>133.98453803547886</v>
      </c>
      <c r="Q139" s="38">
        <v>4987984</v>
      </c>
      <c r="R139" s="38">
        <v>4435125</v>
      </c>
      <c r="S139" s="30">
        <f t="shared" si="5"/>
        <v>552859</v>
      </c>
      <c r="T139" s="6">
        <f>14083598-8923670</f>
        <v>5159928</v>
      </c>
      <c r="U139" s="38">
        <v>8923670</v>
      </c>
      <c r="V139" s="32">
        <f t="shared" si="6"/>
        <v>0.57822936078989917</v>
      </c>
      <c r="W139" s="1"/>
      <c r="X139" s="1"/>
      <c r="Y139" s="1"/>
      <c r="Z139" s="1"/>
    </row>
    <row r="140" spans="1:26" ht="15.75" customHeight="1">
      <c r="A140" s="1"/>
      <c r="B140" s="36" t="s">
        <v>147</v>
      </c>
      <c r="C140" s="38">
        <v>43764490</v>
      </c>
      <c r="D140" s="38">
        <v>22611042</v>
      </c>
      <c r="E140" s="38">
        <v>66759930</v>
      </c>
      <c r="F140" s="30">
        <f t="shared" si="9"/>
        <v>0.31685845087015518</v>
      </c>
      <c r="G140" s="38">
        <v>37920289</v>
      </c>
      <c r="H140" s="38">
        <v>65084263</v>
      </c>
      <c r="I140" s="6">
        <v>360</v>
      </c>
      <c r="J140" s="34">
        <f t="shared" si="1"/>
        <v>209.74815432726032</v>
      </c>
      <c r="K140" s="6">
        <f>1189089+24545</f>
        <v>1213634</v>
      </c>
      <c r="L140" s="38">
        <v>2229097</v>
      </c>
      <c r="M140" s="38">
        <v>83305925</v>
      </c>
      <c r="N140" s="34">
        <f t="shared" si="2"/>
        <v>9.6328672900516974</v>
      </c>
      <c r="O140" s="34">
        <f t="shared" si="3"/>
        <v>5.6124337082438371</v>
      </c>
      <c r="P140" s="30">
        <f t="shared" si="4"/>
        <v>213.7685879090682</v>
      </c>
      <c r="Q140" s="38">
        <v>21408575</v>
      </c>
      <c r="R140" s="38">
        <v>20498950</v>
      </c>
      <c r="S140" s="30">
        <f t="shared" si="5"/>
        <v>909625</v>
      </c>
      <c r="T140" s="38">
        <v>24572266</v>
      </c>
      <c r="U140" s="38">
        <v>42187664</v>
      </c>
      <c r="V140" s="32">
        <f t="shared" si="6"/>
        <v>0.58245144836651774</v>
      </c>
      <c r="W140" s="1"/>
      <c r="X140" s="1"/>
      <c r="Y140" s="1"/>
      <c r="Z140" s="1"/>
    </row>
    <row r="141" spans="1:26" ht="15.75" customHeight="1">
      <c r="A141" s="1"/>
      <c r="B141" s="36" t="s">
        <v>148</v>
      </c>
      <c r="C141" s="38">
        <v>34180353</v>
      </c>
      <c r="D141" s="38">
        <v>6482969</v>
      </c>
      <c r="E141" s="38">
        <v>43141063</v>
      </c>
      <c r="F141" s="30">
        <f t="shared" si="9"/>
        <v>0.64201904343432614</v>
      </c>
      <c r="G141" s="38">
        <v>18023238</v>
      </c>
      <c r="H141" s="38">
        <v>74875642</v>
      </c>
      <c r="I141" s="6">
        <v>360</v>
      </c>
      <c r="J141" s="34">
        <f t="shared" si="1"/>
        <v>86.655226007945274</v>
      </c>
      <c r="K141" s="6">
        <f>2599318+1067123</f>
        <v>3666441</v>
      </c>
      <c r="L141" s="6">
        <f>3375798+222124</f>
        <v>3597922</v>
      </c>
      <c r="M141" s="38">
        <v>99091484</v>
      </c>
      <c r="N141" s="34">
        <f t="shared" si="2"/>
        <v>13.071273814004037</v>
      </c>
      <c r="O141" s="34">
        <f t="shared" si="3"/>
        <v>3.1463727404562682</v>
      </c>
      <c r="P141" s="30">
        <f t="shared" si="4"/>
        <v>96.580127081493046</v>
      </c>
      <c r="Q141" s="38">
        <v>6890750</v>
      </c>
      <c r="R141" s="38">
        <v>6988232</v>
      </c>
      <c r="S141" s="30">
        <f t="shared" si="5"/>
        <v>-97482</v>
      </c>
      <c r="T141" s="38">
        <v>9028078</v>
      </c>
      <c r="U141" s="38">
        <v>34112985</v>
      </c>
      <c r="V141" s="32">
        <f t="shared" si="6"/>
        <v>0.26465224312677416</v>
      </c>
      <c r="W141" s="1"/>
      <c r="X141" s="1"/>
      <c r="Y141" s="1"/>
      <c r="Z141" s="1"/>
    </row>
    <row r="142" spans="1:26" ht="15.75" customHeight="1">
      <c r="A142" s="1"/>
      <c r="B142" s="36" t="s">
        <v>149</v>
      </c>
      <c r="C142" s="38">
        <v>861172306233</v>
      </c>
      <c r="D142" s="38">
        <v>160790695868</v>
      </c>
      <c r="E142" s="38">
        <v>1225712093041</v>
      </c>
      <c r="F142" s="30">
        <f t="shared" si="9"/>
        <v>0.57140793041157689</v>
      </c>
      <c r="G142" s="38">
        <v>668157271315</v>
      </c>
      <c r="H142" s="38">
        <v>1043634733778</v>
      </c>
      <c r="I142" s="6">
        <v>360</v>
      </c>
      <c r="J142" s="34">
        <f t="shared" si="1"/>
        <v>230.47969743460695</v>
      </c>
      <c r="K142" s="6">
        <f>659826825+35228160578</f>
        <v>35887987403</v>
      </c>
      <c r="L142" s="6">
        <f>57168038260</f>
        <v>57168038260</v>
      </c>
      <c r="M142" s="38">
        <v>1476427090781</v>
      </c>
      <c r="N142" s="34">
        <f t="shared" si="2"/>
        <v>13.939390507060756</v>
      </c>
      <c r="O142" s="34">
        <f t="shared" si="3"/>
        <v>8.9242958513616539</v>
      </c>
      <c r="P142" s="30">
        <f t="shared" si="4"/>
        <v>235.49479209030605</v>
      </c>
      <c r="Q142" s="38">
        <v>312881022672</v>
      </c>
      <c r="R142" s="38">
        <v>330448090705</v>
      </c>
      <c r="S142" s="30">
        <f t="shared" si="5"/>
        <v>-17567068033</v>
      </c>
      <c r="T142" s="38">
        <v>247620731930</v>
      </c>
      <c r="U142" s="38">
        <v>978091361111</v>
      </c>
      <c r="V142" s="32">
        <f t="shared" si="6"/>
        <v>0.25316728250081993</v>
      </c>
      <c r="W142" s="1"/>
      <c r="X142" s="1"/>
      <c r="Y142" s="1"/>
      <c r="Z142" s="1"/>
    </row>
    <row r="143" spans="1:26" ht="15.75" customHeight="1">
      <c r="A143" s="1"/>
      <c r="B143" s="12" t="s">
        <v>150</v>
      </c>
      <c r="C143" s="6"/>
      <c r="D143" s="6"/>
      <c r="E143" s="6"/>
      <c r="F143" s="30" t="e">
        <f t="shared" si="9"/>
        <v>#DIV/0!</v>
      </c>
      <c r="G143" s="6"/>
      <c r="H143" s="6"/>
      <c r="I143" s="6">
        <v>360</v>
      </c>
      <c r="J143" s="34" t="e">
        <f t="shared" si="1"/>
        <v>#DIV/0!</v>
      </c>
      <c r="K143" s="6"/>
      <c r="L143" s="6"/>
      <c r="M143" s="6"/>
      <c r="N143" s="34" t="e">
        <f t="shared" si="2"/>
        <v>#DIV/0!</v>
      </c>
      <c r="O143" s="34" t="e">
        <f t="shared" si="3"/>
        <v>#DIV/0!</v>
      </c>
      <c r="P143" s="30" t="e">
        <f t="shared" si="4"/>
        <v>#DIV/0!</v>
      </c>
      <c r="Q143" s="6"/>
      <c r="R143" s="6"/>
      <c r="S143" s="30">
        <f t="shared" si="5"/>
        <v>0</v>
      </c>
      <c r="T143" s="6"/>
      <c r="U143" s="6"/>
      <c r="V143" s="32" t="e">
        <f t="shared" si="6"/>
        <v>#DIV/0!</v>
      </c>
      <c r="W143" s="1"/>
      <c r="X143" s="1"/>
      <c r="Y143" s="1"/>
      <c r="Z143" s="1"/>
    </row>
    <row r="144" spans="1:26" ht="15.75" customHeight="1">
      <c r="A144" s="1"/>
      <c r="B144" s="36" t="s">
        <v>151</v>
      </c>
      <c r="C144" s="38">
        <v>175655601</v>
      </c>
      <c r="D144" s="38">
        <v>441622865</v>
      </c>
      <c r="E144" s="38">
        <v>1640886147</v>
      </c>
      <c r="F144" s="30">
        <f t="shared" si="9"/>
        <v>-0.16208757962047687</v>
      </c>
      <c r="G144" s="38">
        <v>203861591</v>
      </c>
      <c r="H144" s="38">
        <v>681690889</v>
      </c>
      <c r="I144" s="6">
        <v>360</v>
      </c>
      <c r="J144" s="34">
        <f t="shared" si="1"/>
        <v>107.6590195706723</v>
      </c>
      <c r="K144" s="6">
        <f>66737701+1401925</f>
        <v>68139626</v>
      </c>
      <c r="L144" s="6">
        <f>448003830+30935697</f>
        <v>478939527</v>
      </c>
      <c r="M144" s="38">
        <v>1575647308</v>
      </c>
      <c r="N144" s="34">
        <f t="shared" si="2"/>
        <v>109.42691860328428</v>
      </c>
      <c r="O144" s="34">
        <f t="shared" si="3"/>
        <v>32.724429920748186</v>
      </c>
      <c r="P144" s="30">
        <f t="shared" si="4"/>
        <v>184.3615082532084</v>
      </c>
      <c r="Q144" s="38">
        <v>395989095</v>
      </c>
      <c r="R144" s="38">
        <v>404599316</v>
      </c>
      <c r="S144" s="30">
        <f t="shared" si="5"/>
        <v>-8610221</v>
      </c>
      <c r="T144" s="38">
        <v>524586078</v>
      </c>
      <c r="U144" s="38">
        <v>1116300069</v>
      </c>
      <c r="V144" s="32">
        <f t="shared" si="6"/>
        <v>0.46993285458625195</v>
      </c>
      <c r="W144" s="1"/>
      <c r="X144" s="1"/>
      <c r="Y144" s="1"/>
      <c r="Z144" s="1"/>
    </row>
    <row r="145" spans="1:26" ht="15.75" customHeight="1">
      <c r="A145" s="1"/>
      <c r="B145" s="36" t="s">
        <v>152</v>
      </c>
      <c r="C145" s="38">
        <v>930982222120</v>
      </c>
      <c r="D145" s="38">
        <v>893289027427</v>
      </c>
      <c r="E145" s="38">
        <v>1529874782290</v>
      </c>
      <c r="F145" s="30">
        <f t="shared" si="9"/>
        <v>2.4638091384563365E-2</v>
      </c>
      <c r="G145" s="38">
        <v>254678984656</v>
      </c>
      <c r="H145" s="38">
        <v>1348504215451</v>
      </c>
      <c r="I145" s="6">
        <v>360</v>
      </c>
      <c r="J145" s="34">
        <f t="shared" si="1"/>
        <v>67.989727748456929</v>
      </c>
      <c r="K145" s="6">
        <f>8492910380+376648899346</f>
        <v>385141809726</v>
      </c>
      <c r="L145" s="6">
        <f>5967519299+174712215906</f>
        <v>180679735205</v>
      </c>
      <c r="M145" s="38">
        <v>1631317499096</v>
      </c>
      <c r="N145" s="34">
        <f t="shared" si="2"/>
        <v>39.872498584637718</v>
      </c>
      <c r="O145" s="34">
        <f t="shared" si="3"/>
        <v>7.5303342317229243</v>
      </c>
      <c r="P145" s="30">
        <f t="shared" si="4"/>
        <v>100.33189210137172</v>
      </c>
      <c r="Q145" s="38">
        <v>487333743682</v>
      </c>
      <c r="R145" s="38">
        <v>425706696909</v>
      </c>
      <c r="S145" s="30">
        <f t="shared" si="5"/>
        <v>61627046773</v>
      </c>
      <c r="T145" s="38">
        <v>1003464884586</v>
      </c>
      <c r="U145" s="38">
        <v>526409897704</v>
      </c>
      <c r="V145" s="32">
        <f t="shared" si="6"/>
        <v>1.9062424338196007</v>
      </c>
      <c r="W145" s="1"/>
      <c r="X145" s="1"/>
      <c r="Y145" s="1"/>
      <c r="Z145" s="1"/>
    </row>
    <row r="146" spans="1:26" ht="15.75" customHeight="1">
      <c r="A146" s="1"/>
      <c r="B146" s="36" t="s">
        <v>153</v>
      </c>
      <c r="C146" s="38">
        <v>1628901</v>
      </c>
      <c r="D146" s="38">
        <v>208507</v>
      </c>
      <c r="E146" s="38">
        <v>3158198</v>
      </c>
      <c r="F146" s="30">
        <f t="shared" si="9"/>
        <v>0.44974824251044426</v>
      </c>
      <c r="G146" s="38">
        <v>267915</v>
      </c>
      <c r="H146" s="38">
        <v>1411881</v>
      </c>
      <c r="I146" s="6">
        <v>360</v>
      </c>
      <c r="J146" s="34">
        <f t="shared" si="1"/>
        <v>68.312697741523536</v>
      </c>
      <c r="K146" s="6">
        <f>107636+17262</f>
        <v>124898</v>
      </c>
      <c r="L146" s="6">
        <f>427248+74</f>
        <v>427322</v>
      </c>
      <c r="M146" s="38">
        <v>2573840</v>
      </c>
      <c r="N146" s="34">
        <f t="shared" si="2"/>
        <v>59.769029931930497</v>
      </c>
      <c r="O146" s="34">
        <f t="shared" si="3"/>
        <v>11.341621322344558</v>
      </c>
      <c r="P146" s="30">
        <f t="shared" si="4"/>
        <v>116.74010635110946</v>
      </c>
      <c r="Q146" s="38">
        <v>1215176</v>
      </c>
      <c r="R146" s="38">
        <v>1051227</v>
      </c>
      <c r="S146" s="30">
        <f t="shared" si="5"/>
        <v>163949</v>
      </c>
      <c r="T146" s="38">
        <v>262333</v>
      </c>
      <c r="U146" s="38">
        <v>2895865</v>
      </c>
      <c r="V146" s="32">
        <f t="shared" si="6"/>
        <v>9.0588822338057887E-2</v>
      </c>
      <c r="W146" s="1"/>
      <c r="X146" s="1"/>
      <c r="Y146" s="1"/>
      <c r="Z146" s="1"/>
    </row>
    <row r="147" spans="1:26" ht="15.75" customHeight="1">
      <c r="A147" s="1"/>
      <c r="B147" s="36" t="s">
        <v>154</v>
      </c>
      <c r="C147" s="38">
        <v>10043950500578</v>
      </c>
      <c r="D147" s="38">
        <v>2227336011715</v>
      </c>
      <c r="E147" s="38">
        <v>16616239416335</v>
      </c>
      <c r="F147" s="30">
        <f t="shared" si="9"/>
        <v>0.47042018913007994</v>
      </c>
      <c r="G147" s="38">
        <v>3557496638218</v>
      </c>
      <c r="H147" s="38">
        <v>10369836693616</v>
      </c>
      <c r="I147" s="6">
        <v>360</v>
      </c>
      <c r="J147" s="34">
        <f t="shared" si="1"/>
        <v>123.50231036395382</v>
      </c>
      <c r="K147" s="6">
        <f>1040508502669+68042882218</f>
        <v>1108551384887</v>
      </c>
      <c r="L147" s="6">
        <f>2851855047281+24562301353</f>
        <v>2876417348634</v>
      </c>
      <c r="M147" s="38">
        <v>20182120166616</v>
      </c>
      <c r="N147" s="34">
        <f t="shared" si="2"/>
        <v>51.308298481995777</v>
      </c>
      <c r="O147" s="34">
        <f t="shared" si="3"/>
        <v>17.601926120471731</v>
      </c>
      <c r="P147" s="30">
        <f t="shared" si="4"/>
        <v>157.2086827254779</v>
      </c>
      <c r="Q147" s="38">
        <v>5342659713054</v>
      </c>
      <c r="R147" s="38">
        <v>4555756101580</v>
      </c>
      <c r="S147" s="30">
        <f t="shared" si="5"/>
        <v>786903611474</v>
      </c>
      <c r="T147" s="38">
        <v>2722207633646</v>
      </c>
      <c r="U147" s="38">
        <v>13894031782689</v>
      </c>
      <c r="V147" s="32">
        <f t="shared" si="6"/>
        <v>0.19592640035829498</v>
      </c>
      <c r="W147" s="1"/>
      <c r="X147" s="1"/>
      <c r="Y147" s="1"/>
      <c r="Z147" s="1"/>
    </row>
    <row r="148" spans="1:26" ht="15.75" customHeight="1">
      <c r="A148" s="1"/>
      <c r="B148" s="36" t="s">
        <v>155</v>
      </c>
      <c r="C148" s="38">
        <v>3662090215984</v>
      </c>
      <c r="D148" s="38">
        <v>2369507448768</v>
      </c>
      <c r="E148" s="38">
        <v>6096148972533</v>
      </c>
      <c r="F148" s="30">
        <f t="shared" si="9"/>
        <v>0.21203267391264574</v>
      </c>
      <c r="G148" s="38">
        <v>1192342702145</v>
      </c>
      <c r="H148" s="38">
        <v>3925599724290</v>
      </c>
      <c r="I148" s="6">
        <v>360</v>
      </c>
      <c r="J148" s="34">
        <f t="shared" si="1"/>
        <v>109.34466143254957</v>
      </c>
      <c r="K148" s="6">
        <f>843751139064+35457019096</f>
        <v>879208158160</v>
      </c>
      <c r="L148" s="6">
        <f>848656201775+81343855030</f>
        <v>930000056805</v>
      </c>
      <c r="M148" s="38">
        <v>6127479369403</v>
      </c>
      <c r="N148" s="34">
        <f t="shared" si="2"/>
        <v>54.639110189679762</v>
      </c>
      <c r="O148" s="34">
        <f t="shared" si="3"/>
        <v>16.595819457406396</v>
      </c>
      <c r="P148" s="30">
        <f t="shared" si="4"/>
        <v>147.38795216482293</v>
      </c>
      <c r="Q148" s="38">
        <v>1687785385991</v>
      </c>
      <c r="R148" s="38">
        <v>1006745257089</v>
      </c>
      <c r="S148" s="30">
        <f t="shared" si="5"/>
        <v>681040128902</v>
      </c>
      <c r="T148" s="38">
        <v>3523628217406</v>
      </c>
      <c r="U148" s="38">
        <v>2572520755127</v>
      </c>
      <c r="V148" s="32">
        <f t="shared" si="6"/>
        <v>1.3697180908583362</v>
      </c>
      <c r="W148" s="1"/>
      <c r="X148" s="1"/>
      <c r="Y148" s="1"/>
      <c r="Z148" s="1"/>
    </row>
    <row r="149" spans="1:26" ht="15.75" customHeight="1">
      <c r="A149" s="1"/>
      <c r="B149" s="36" t="s">
        <v>156</v>
      </c>
      <c r="C149" s="38">
        <v>1098244680</v>
      </c>
      <c r="D149" s="38">
        <v>848450095</v>
      </c>
      <c r="E149" s="38">
        <v>1354104356</v>
      </c>
      <c r="F149" s="30">
        <f t="shared" si="9"/>
        <v>0.18447218184711311</v>
      </c>
      <c r="G149" s="38">
        <v>347357441</v>
      </c>
      <c r="H149" s="38">
        <v>1855951132</v>
      </c>
      <c r="I149" s="6">
        <v>360</v>
      </c>
      <c r="J149" s="34">
        <f t="shared" si="1"/>
        <v>67.377139733870962</v>
      </c>
      <c r="K149" s="6">
        <f>149135261+33639914</f>
        <v>182775175</v>
      </c>
      <c r="L149" s="6">
        <f>199380574+87268295</f>
        <v>286648869</v>
      </c>
      <c r="M149" s="38">
        <v>2184626635</v>
      </c>
      <c r="N149" s="34">
        <f t="shared" si="2"/>
        <v>47.236260506363372</v>
      </c>
      <c r="O149" s="34">
        <f t="shared" si="3"/>
        <v>8.8406781240077077</v>
      </c>
      <c r="P149" s="30">
        <f t="shared" si="4"/>
        <v>105.77272211622663</v>
      </c>
      <c r="Q149" s="38">
        <v>244202833</v>
      </c>
      <c r="R149" s="38">
        <v>234100977</v>
      </c>
      <c r="S149" s="30">
        <f t="shared" si="5"/>
        <v>10101856</v>
      </c>
      <c r="T149" s="38">
        <v>996954246</v>
      </c>
      <c r="U149" s="38">
        <v>357150110</v>
      </c>
      <c r="V149" s="32">
        <f t="shared" si="6"/>
        <v>2.7914152007401034</v>
      </c>
      <c r="W149" s="1"/>
      <c r="X149" s="1"/>
      <c r="Y149" s="1"/>
      <c r="Z149" s="1"/>
    </row>
    <row r="150" spans="1:26" ht="15.75" customHeight="1">
      <c r="A150" s="1"/>
      <c r="B150" s="36" t="s">
        <v>157</v>
      </c>
      <c r="C150" s="38">
        <v>569889512</v>
      </c>
      <c r="D150" s="38">
        <v>184971088</v>
      </c>
      <c r="E150" s="38">
        <v>847006544</v>
      </c>
      <c r="F150" s="30">
        <f t="shared" si="9"/>
        <v>0.45444563176834202</v>
      </c>
      <c r="G150" s="38">
        <v>289064085</v>
      </c>
      <c r="H150" s="38">
        <v>568653431</v>
      </c>
      <c r="I150" s="6">
        <v>360</v>
      </c>
      <c r="J150" s="34">
        <f t="shared" si="1"/>
        <v>182.99910793996423</v>
      </c>
      <c r="K150" s="6">
        <f>37740329+52406594</f>
        <v>90146923</v>
      </c>
      <c r="L150" s="6">
        <f>209446183+1702597</f>
        <v>211148780</v>
      </c>
      <c r="M150" s="38">
        <v>1156648155</v>
      </c>
      <c r="N150" s="34">
        <f t="shared" si="2"/>
        <v>65.718827693111223</v>
      </c>
      <c r="O150" s="34">
        <f t="shared" si="3"/>
        <v>33.4069078963877</v>
      </c>
      <c r="P150" s="30">
        <f t="shared" si="4"/>
        <v>215.31102773668775</v>
      </c>
      <c r="Q150" s="38">
        <v>177729098</v>
      </c>
      <c r="R150" s="38">
        <v>129991953</v>
      </c>
      <c r="S150" s="30">
        <f t="shared" si="5"/>
        <v>47737145</v>
      </c>
      <c r="T150" s="38">
        <v>231569103</v>
      </c>
      <c r="U150" s="38">
        <v>615437441</v>
      </c>
      <c r="V150" s="32">
        <f t="shared" si="6"/>
        <v>0.37626749296196949</v>
      </c>
      <c r="W150" s="1"/>
      <c r="X150" s="1"/>
      <c r="Y150" s="1"/>
      <c r="Z150" s="1"/>
    </row>
    <row r="151" spans="1:26" ht="15.75" customHeight="1">
      <c r="A151" s="1"/>
      <c r="B151" s="36" t="s">
        <v>158</v>
      </c>
      <c r="C151" s="38">
        <v>78364312306</v>
      </c>
      <c r="D151" s="38">
        <v>22245115479</v>
      </c>
      <c r="E151" s="38">
        <v>159563931041</v>
      </c>
      <c r="F151" s="30">
        <f t="shared" si="9"/>
        <v>0.35170352385327081</v>
      </c>
      <c r="G151" s="38">
        <v>36890982384</v>
      </c>
      <c r="H151" s="38">
        <v>88026695943</v>
      </c>
      <c r="I151" s="6">
        <v>360</v>
      </c>
      <c r="J151" s="34">
        <f t="shared" si="1"/>
        <v>150.87188626095539</v>
      </c>
      <c r="K151" s="38">
        <v>6737015466</v>
      </c>
      <c r="L151" s="38">
        <v>37327885021</v>
      </c>
      <c r="M151" s="38">
        <v>223002490278</v>
      </c>
      <c r="N151" s="34">
        <f t="shared" si="2"/>
        <v>60.259589885331927</v>
      </c>
      <c r="O151" s="34">
        <f t="shared" si="3"/>
        <v>25.254105531421157</v>
      </c>
      <c r="P151" s="30">
        <f t="shared" si="4"/>
        <v>185.87737061486618</v>
      </c>
      <c r="Q151" s="38">
        <v>75929987318</v>
      </c>
      <c r="R151" s="38">
        <v>79954782788</v>
      </c>
      <c r="S151" s="30">
        <f t="shared" si="5"/>
        <v>-4024795470</v>
      </c>
      <c r="T151" s="38">
        <v>50707930330</v>
      </c>
      <c r="U151" s="38">
        <v>108856000711</v>
      </c>
      <c r="V151" s="32">
        <f t="shared" si="6"/>
        <v>0.46582576981331186</v>
      </c>
      <c r="W151" s="1"/>
      <c r="X151" s="1"/>
      <c r="Y151" s="1"/>
      <c r="Z151" s="1"/>
    </row>
    <row r="152" spans="1:26" ht="15.75" customHeight="1">
      <c r="A152" s="52" t="s">
        <v>185</v>
      </c>
      <c r="B152" s="36" t="s">
        <v>159</v>
      </c>
      <c r="C152" s="38">
        <v>401199945</v>
      </c>
      <c r="D152" s="38">
        <v>120645784</v>
      </c>
      <c r="E152" s="38">
        <v>492349222</v>
      </c>
      <c r="F152" s="30">
        <f t="shared" si="9"/>
        <v>0.5698275704800444</v>
      </c>
      <c r="G152" s="38">
        <v>64089722</v>
      </c>
      <c r="H152" s="38">
        <v>237009985</v>
      </c>
      <c r="I152" s="6">
        <v>360</v>
      </c>
      <c r="J152" s="34">
        <f t="shared" si="1"/>
        <v>97.347375132739657</v>
      </c>
      <c r="K152" s="6">
        <f>1473570+39525174</f>
        <v>40998744</v>
      </c>
      <c r="L152" s="6">
        <f>13816401+117674625</f>
        <v>131491026</v>
      </c>
      <c r="M152" s="38">
        <v>577372986</v>
      </c>
      <c r="N152" s="34">
        <f t="shared" si="2"/>
        <v>81.98646370337805</v>
      </c>
      <c r="O152" s="34">
        <f t="shared" si="3"/>
        <v>22.169908438720796</v>
      </c>
      <c r="P152" s="30">
        <f t="shared" si="4"/>
        <v>157.16393039739691</v>
      </c>
      <c r="Q152" s="38">
        <v>80105552</v>
      </c>
      <c r="R152" s="38">
        <v>86021584</v>
      </c>
      <c r="S152" s="30">
        <f t="shared" si="5"/>
        <v>-5916032</v>
      </c>
      <c r="T152" s="38">
        <v>133919126</v>
      </c>
      <c r="U152" s="38">
        <v>358430096</v>
      </c>
      <c r="V152" s="32">
        <f t="shared" si="6"/>
        <v>0.37362690101782076</v>
      </c>
      <c r="W152" s="1"/>
      <c r="X152" s="1"/>
      <c r="Y152" s="1"/>
      <c r="Z152" s="1"/>
    </row>
    <row r="153" spans="1:26" ht="15.75" customHeight="1">
      <c r="A153" s="52" t="s">
        <v>185</v>
      </c>
      <c r="B153" s="36" t="s">
        <v>160</v>
      </c>
      <c r="C153" s="6"/>
      <c r="D153" s="6"/>
      <c r="E153" s="6"/>
      <c r="F153" s="30" t="e">
        <f t="shared" si="9"/>
        <v>#DIV/0!</v>
      </c>
      <c r="G153" s="6"/>
      <c r="H153" s="6"/>
      <c r="I153" s="6">
        <v>360</v>
      </c>
      <c r="J153" s="34" t="e">
        <f t="shared" si="1"/>
        <v>#DIV/0!</v>
      </c>
      <c r="K153" s="6"/>
      <c r="L153" s="6"/>
      <c r="M153" s="6"/>
      <c r="N153" s="34" t="e">
        <f t="shared" si="2"/>
        <v>#DIV/0!</v>
      </c>
      <c r="O153" s="34" t="e">
        <f t="shared" si="3"/>
        <v>#DIV/0!</v>
      </c>
      <c r="P153" s="30" t="e">
        <f t="shared" si="4"/>
        <v>#DIV/0!</v>
      </c>
      <c r="Q153" s="6"/>
      <c r="R153" s="6"/>
      <c r="S153" s="30">
        <f t="shared" si="5"/>
        <v>0</v>
      </c>
      <c r="T153" s="6"/>
      <c r="U153" s="6"/>
      <c r="V153" s="32" t="e">
        <f t="shared" si="6"/>
        <v>#DIV/0!</v>
      </c>
      <c r="W153" s="1"/>
      <c r="X153" s="1"/>
      <c r="Y153" s="1"/>
      <c r="Z153" s="1"/>
    </row>
    <row r="154" spans="1:26" ht="15.75" customHeight="1">
      <c r="A154" s="1"/>
      <c r="B154" s="36" t="s">
        <v>161</v>
      </c>
      <c r="C154" s="38">
        <v>5049363864387</v>
      </c>
      <c r="D154" s="38">
        <v>2002621403597</v>
      </c>
      <c r="E154" s="38">
        <v>7434900309021</v>
      </c>
      <c r="F154" s="30">
        <f t="shared" si="9"/>
        <v>0.4097892821902791</v>
      </c>
      <c r="G154" s="38">
        <v>1478762390030</v>
      </c>
      <c r="H154" s="38">
        <v>5907286902999</v>
      </c>
      <c r="I154" s="6">
        <v>360</v>
      </c>
      <c r="J154" s="34">
        <f t="shared" si="1"/>
        <v>90.118267345460282</v>
      </c>
      <c r="K154" s="6">
        <f>1281057257778+4967941313</f>
        <v>1286025199091</v>
      </c>
      <c r="L154" s="6">
        <f>1113293220788+1424106209</f>
        <v>1114717326997</v>
      </c>
      <c r="M154" s="38">
        <v>9565462045199</v>
      </c>
      <c r="N154" s="34">
        <f t="shared" si="2"/>
        <v>41.95283362399995</v>
      </c>
      <c r="O154" s="34">
        <f t="shared" si="3"/>
        <v>10.501990767853453</v>
      </c>
      <c r="P154" s="30">
        <f t="shared" si="4"/>
        <v>121.56911020160679</v>
      </c>
      <c r="Q154" s="38">
        <v>1984179208981</v>
      </c>
      <c r="R154" s="38">
        <v>1086744212273</v>
      </c>
      <c r="S154" s="30">
        <f t="shared" si="5"/>
        <v>897434996708</v>
      </c>
      <c r="T154" s="38">
        <v>2352891899876</v>
      </c>
      <c r="U154" s="38">
        <v>5082008409145</v>
      </c>
      <c r="V154" s="32">
        <f t="shared" si="6"/>
        <v>0.4629846530049036</v>
      </c>
      <c r="W154" s="1"/>
      <c r="X154" s="1"/>
      <c r="Y154" s="1"/>
      <c r="Z154" s="1"/>
    </row>
    <row r="155" spans="1:26" ht="15.75" customHeight="1">
      <c r="A155" s="1"/>
      <c r="B155" s="12" t="s">
        <v>162</v>
      </c>
      <c r="C155" s="6"/>
      <c r="D155" s="6"/>
      <c r="E155" s="6"/>
      <c r="F155" s="30" t="e">
        <f t="shared" si="9"/>
        <v>#DIV/0!</v>
      </c>
      <c r="G155" s="6"/>
      <c r="H155" s="6"/>
      <c r="I155" s="6">
        <v>360</v>
      </c>
      <c r="J155" s="34" t="e">
        <f t="shared" si="1"/>
        <v>#DIV/0!</v>
      </c>
      <c r="K155" s="6"/>
      <c r="L155" s="6"/>
      <c r="M155" s="6"/>
      <c r="N155" s="34" t="e">
        <f t="shared" si="2"/>
        <v>#DIV/0!</v>
      </c>
      <c r="O155" s="34" t="e">
        <f t="shared" si="3"/>
        <v>#DIV/0!</v>
      </c>
      <c r="P155" s="30" t="e">
        <f t="shared" si="4"/>
        <v>#DIV/0!</v>
      </c>
      <c r="Q155" s="6"/>
      <c r="R155" s="6"/>
      <c r="S155" s="30">
        <f t="shared" si="5"/>
        <v>0</v>
      </c>
      <c r="T155" s="6"/>
      <c r="U155" s="6"/>
      <c r="V155" s="32" t="e">
        <f t="shared" si="6"/>
        <v>#DIV/0!</v>
      </c>
      <c r="W155" s="1"/>
      <c r="X155" s="1"/>
      <c r="Y155" s="1"/>
      <c r="Z155" s="1"/>
    </row>
    <row r="156" spans="1:26" ht="15.75" customHeight="1">
      <c r="A156" s="1"/>
      <c r="B156" s="36" t="s">
        <v>163</v>
      </c>
      <c r="C156" s="38">
        <v>1276478591542</v>
      </c>
      <c r="D156" s="38">
        <v>259806845843</v>
      </c>
      <c r="E156" s="38">
        <v>2361807189430</v>
      </c>
      <c r="F156" s="30">
        <f t="shared" si="9"/>
        <v>0.4304634816292367</v>
      </c>
      <c r="G156" s="38">
        <v>422625745680</v>
      </c>
      <c r="H156" s="38">
        <v>1699417758295</v>
      </c>
      <c r="I156" s="6">
        <v>360</v>
      </c>
      <c r="J156" s="34">
        <f t="shared" si="1"/>
        <v>89.527879594152907</v>
      </c>
      <c r="K156" s="6">
        <f>4058327218+59183511889</f>
        <v>63241839107</v>
      </c>
      <c r="L156" s="6">
        <f>378597630625+19872254601</f>
        <v>398469885226</v>
      </c>
      <c r="M156" s="38">
        <v>2706394847919</v>
      </c>
      <c r="N156" s="34">
        <f t="shared" si="2"/>
        <v>53.003780579785271</v>
      </c>
      <c r="O156" s="34">
        <f t="shared" si="3"/>
        <v>13.181433571616433</v>
      </c>
      <c r="P156" s="30">
        <f t="shared" si="4"/>
        <v>129.35022660232175</v>
      </c>
      <c r="Q156" s="38">
        <v>964642806296</v>
      </c>
      <c r="R156" s="38">
        <v>935344860312</v>
      </c>
      <c r="S156" s="30">
        <f t="shared" si="5"/>
        <v>29297945984</v>
      </c>
      <c r="T156" s="6">
        <f>2361807189430-1858326336424</f>
        <v>503480853006</v>
      </c>
      <c r="U156" s="38">
        <v>1858326336424</v>
      </c>
      <c r="V156" s="32">
        <f t="shared" si="6"/>
        <v>0.27093242082273578</v>
      </c>
      <c r="W156" s="1"/>
      <c r="X156" s="1"/>
      <c r="Y156" s="1"/>
      <c r="Z156" s="1"/>
    </row>
    <row r="157" spans="1:26" ht="15.75" customHeight="1">
      <c r="A157" s="1"/>
      <c r="B157" s="36" t="s">
        <v>164</v>
      </c>
      <c r="C157" s="38">
        <v>520384083342</v>
      </c>
      <c r="D157" s="38">
        <v>252247858307</v>
      </c>
      <c r="E157" s="38">
        <v>780669761787</v>
      </c>
      <c r="F157" s="30">
        <f t="shared" si="9"/>
        <v>0.34346946450342852</v>
      </c>
      <c r="G157" s="38">
        <v>103446614309</v>
      </c>
      <c r="H157" s="38">
        <v>355796818935</v>
      </c>
      <c r="I157" s="6">
        <v>360</v>
      </c>
      <c r="J157" s="34">
        <f t="shared" si="1"/>
        <v>104.66867371864689</v>
      </c>
      <c r="K157" s="38">
        <v>74685967049</v>
      </c>
      <c r="L157" s="6">
        <f>21130005397+366644280693</f>
        <v>387774286090</v>
      </c>
      <c r="M157" s="38">
        <v>731577343628</v>
      </c>
      <c r="N157" s="34">
        <f t="shared" si="2"/>
        <v>190.81884397910579</v>
      </c>
      <c r="O157" s="34">
        <f t="shared" si="3"/>
        <v>55.479875888384477</v>
      </c>
      <c r="P157" s="30">
        <f t="shared" si="4"/>
        <v>240.00764180936818</v>
      </c>
      <c r="Q157" s="38">
        <v>151096093283</v>
      </c>
      <c r="R157" s="38">
        <v>146765140999</v>
      </c>
      <c r="S157" s="30">
        <f t="shared" si="5"/>
        <v>4330952284</v>
      </c>
      <c r="T157" s="38">
        <v>367927139244</v>
      </c>
      <c r="U157" s="38">
        <v>412742622543</v>
      </c>
      <c r="V157" s="32">
        <f t="shared" si="6"/>
        <v>0.89142026810102204</v>
      </c>
      <c r="W157" s="1"/>
      <c r="X157" s="1"/>
      <c r="Y157" s="1"/>
      <c r="Z157" s="1"/>
    </row>
    <row r="158" spans="1:26" ht="15.75" customHeight="1">
      <c r="A158" s="1"/>
      <c r="B158" s="36" t="s">
        <v>165</v>
      </c>
      <c r="C158" s="38">
        <v>384262906538</v>
      </c>
      <c r="D158" s="38">
        <v>106813922324</v>
      </c>
      <c r="E158" s="38">
        <v>497354419089</v>
      </c>
      <c r="F158" s="30">
        <f t="shared" si="9"/>
        <v>0.55784964115167812</v>
      </c>
      <c r="G158" s="38">
        <v>109760005307</v>
      </c>
      <c r="H158" s="38">
        <v>145109272647</v>
      </c>
      <c r="I158" s="6">
        <v>360</v>
      </c>
      <c r="J158" s="34">
        <f t="shared" si="1"/>
        <v>272.30239108594213</v>
      </c>
      <c r="K158" s="38">
        <v>31237164909</v>
      </c>
      <c r="L158" s="38">
        <v>211442312219</v>
      </c>
      <c r="M158" s="38">
        <v>344678666245</v>
      </c>
      <c r="N158" s="34">
        <f t="shared" si="2"/>
        <v>220.84114815720542</v>
      </c>
      <c r="O158" s="34">
        <f t="shared" si="3"/>
        <v>167.04325748158843</v>
      </c>
      <c r="P158" s="30">
        <f t="shared" si="4"/>
        <v>326.10028176155913</v>
      </c>
      <c r="Q158" s="38">
        <v>62832680941</v>
      </c>
      <c r="R158" s="38">
        <v>64730154674</v>
      </c>
      <c r="S158" s="30">
        <f t="shared" si="5"/>
        <v>-1897473733</v>
      </c>
      <c r="T158" s="38">
        <v>130623005085</v>
      </c>
      <c r="U158" s="38">
        <v>366731414004</v>
      </c>
      <c r="V158" s="32">
        <f t="shared" si="6"/>
        <v>0.35618166346550084</v>
      </c>
      <c r="W158" s="1"/>
      <c r="X158" s="1"/>
      <c r="Y158" s="1"/>
      <c r="Z158" s="1"/>
    </row>
    <row r="159" spans="1:26" ht="15.75" customHeight="1">
      <c r="A159" s="1"/>
      <c r="B159" s="36" t="s">
        <v>166</v>
      </c>
      <c r="C159" s="38">
        <v>7941635</v>
      </c>
      <c r="D159" s="38">
        <v>12532304</v>
      </c>
      <c r="E159" s="38">
        <v>18906403</v>
      </c>
      <c r="F159" s="30">
        <f t="shared" si="9"/>
        <v>-0.24281027967086072</v>
      </c>
      <c r="G159" s="38">
        <v>2393540</v>
      </c>
      <c r="H159" s="38">
        <v>19984776</v>
      </c>
      <c r="I159" s="6">
        <v>360</v>
      </c>
      <c r="J159" s="34">
        <f t="shared" si="1"/>
        <v>43.116540310484339</v>
      </c>
      <c r="K159" s="38">
        <f>4291308+235802</f>
        <v>4527110</v>
      </c>
      <c r="L159" s="6">
        <f>4346917+368637</f>
        <v>4715554</v>
      </c>
      <c r="M159" s="38">
        <v>41204510</v>
      </c>
      <c r="N159" s="34">
        <f t="shared" si="2"/>
        <v>41.199359972973838</v>
      </c>
      <c r="O159" s="34">
        <f t="shared" si="3"/>
        <v>4.9343718473357816</v>
      </c>
      <c r="P159" s="30">
        <f t="shared" si="4"/>
        <v>79.381528436122395</v>
      </c>
      <c r="Q159" s="38">
        <v>10422133</v>
      </c>
      <c r="R159" s="38">
        <v>9529476</v>
      </c>
      <c r="S159" s="30">
        <f t="shared" si="5"/>
        <v>892657</v>
      </c>
      <c r="T159" s="38">
        <v>13733025</v>
      </c>
      <c r="U159" s="38">
        <v>5173388</v>
      </c>
      <c r="V159" s="32">
        <f t="shared" si="6"/>
        <v>2.6545515240689466</v>
      </c>
      <c r="W159" s="1"/>
      <c r="X159" s="1"/>
      <c r="Y159" s="1"/>
      <c r="Z159" s="1"/>
    </row>
    <row r="160" spans="1:26" ht="15.75" customHeight="1">
      <c r="A160" s="1"/>
      <c r="B160" s="9" t="s">
        <v>167</v>
      </c>
      <c r="C160" s="6"/>
      <c r="D160" s="6"/>
      <c r="E160" s="6"/>
      <c r="F160" s="30" t="e">
        <f t="shared" si="9"/>
        <v>#DIV/0!</v>
      </c>
      <c r="G160" s="6"/>
      <c r="H160" s="6"/>
      <c r="I160" s="6">
        <v>360</v>
      </c>
      <c r="J160" s="34" t="e">
        <f t="shared" si="1"/>
        <v>#DIV/0!</v>
      </c>
      <c r="K160" s="6"/>
      <c r="L160" s="6"/>
      <c r="M160" s="6"/>
      <c r="N160" s="34" t="e">
        <f t="shared" si="2"/>
        <v>#DIV/0!</v>
      </c>
      <c r="O160" s="34" t="e">
        <f t="shared" si="3"/>
        <v>#DIV/0!</v>
      </c>
      <c r="P160" s="30" t="e">
        <f t="shared" si="4"/>
        <v>#DIV/0!</v>
      </c>
      <c r="Q160" s="6"/>
      <c r="R160" s="6"/>
      <c r="S160" s="30">
        <f t="shared" si="5"/>
        <v>0</v>
      </c>
      <c r="T160" s="6"/>
      <c r="U160" s="6"/>
      <c r="V160" s="32" t="e">
        <f t="shared" si="6"/>
        <v>#DIV/0!</v>
      </c>
      <c r="W160" s="1"/>
      <c r="X160" s="1"/>
      <c r="Y160" s="1"/>
      <c r="Z160" s="1"/>
    </row>
    <row r="161" spans="1:26" ht="15.75" customHeight="1">
      <c r="A161" s="1"/>
      <c r="B161" s="36" t="s">
        <v>168</v>
      </c>
      <c r="C161" s="38">
        <v>210584866561</v>
      </c>
      <c r="D161" s="38">
        <v>66014779104</v>
      </c>
      <c r="E161" s="38">
        <v>476577841605</v>
      </c>
      <c r="F161" s="30">
        <f t="shared" si="9"/>
        <v>0.3033504179928353</v>
      </c>
      <c r="G161" s="38">
        <v>91980297698</v>
      </c>
      <c r="H161" s="38">
        <v>248752335546</v>
      </c>
      <c r="I161" s="6">
        <v>360</v>
      </c>
      <c r="J161" s="34">
        <f t="shared" si="1"/>
        <v>133.11596491586172</v>
      </c>
      <c r="K161" s="6">
        <f>35428709772+6858744430</f>
        <v>42287454202</v>
      </c>
      <c r="L161" s="6">
        <f>37802302981</f>
        <v>37802302981</v>
      </c>
      <c r="M161" s="38">
        <v>373955852243</v>
      </c>
      <c r="N161" s="34">
        <f t="shared" si="2"/>
        <v>36.391539245966541</v>
      </c>
      <c r="O161" s="34">
        <f t="shared" si="3"/>
        <v>13.456374615278575</v>
      </c>
      <c r="P161" s="30">
        <f t="shared" si="4"/>
        <v>156.05112954654967</v>
      </c>
      <c r="Q161" s="38">
        <v>234751563051</v>
      </c>
      <c r="R161" s="38">
        <v>181812363868</v>
      </c>
      <c r="S161" s="30">
        <f t="shared" si="5"/>
        <v>52939199183</v>
      </c>
      <c r="T161" s="38">
        <v>94304081659</v>
      </c>
      <c r="U161" s="38">
        <v>382273759946</v>
      </c>
      <c r="V161" s="32">
        <f t="shared" si="6"/>
        <v>0.24669253174039829</v>
      </c>
      <c r="W161" s="1"/>
      <c r="X161" s="1"/>
      <c r="Y161" s="1"/>
      <c r="Z161" s="1"/>
    </row>
    <row r="162" spans="1:26" ht="15.75" customHeight="1">
      <c r="A162" s="1"/>
      <c r="B162" s="36" t="s">
        <v>169</v>
      </c>
      <c r="C162" s="38">
        <v>90345642590</v>
      </c>
      <c r="D162" s="38">
        <v>12385069176</v>
      </c>
      <c r="E162" s="38">
        <v>149420009884</v>
      </c>
      <c r="F162" s="30">
        <f t="shared" si="9"/>
        <v>0.52175457272773262</v>
      </c>
      <c r="G162" s="38">
        <v>63032212909</v>
      </c>
      <c r="H162" s="38">
        <v>84383772346</v>
      </c>
      <c r="I162" s="6">
        <v>360</v>
      </c>
      <c r="J162" s="34">
        <f t="shared" si="1"/>
        <v>268.90948361726845</v>
      </c>
      <c r="K162" s="38">
        <v>506592632</v>
      </c>
      <c r="L162" s="6">
        <f>2546985478+13445767201</f>
        <v>15992752679</v>
      </c>
      <c r="M162" s="38">
        <v>113414715049</v>
      </c>
      <c r="N162" s="34">
        <f t="shared" si="2"/>
        <v>50.76405616284061</v>
      </c>
      <c r="O162" s="34">
        <f t="shared" si="3"/>
        <v>37.919267025187452</v>
      </c>
      <c r="P162" s="30">
        <f t="shared" si="4"/>
        <v>281.75427275492166</v>
      </c>
      <c r="Q162" s="38">
        <v>45101494586</v>
      </c>
      <c r="R162" s="38">
        <v>46674790441</v>
      </c>
      <c r="S162" s="30">
        <f t="shared" si="5"/>
        <v>-1573295855</v>
      </c>
      <c r="T162" s="38">
        <v>57921570888</v>
      </c>
      <c r="U162" s="38">
        <v>91498438996</v>
      </c>
      <c r="V162" s="32">
        <f t="shared" si="6"/>
        <v>0.63303343230295039</v>
      </c>
      <c r="W162" s="1"/>
      <c r="X162" s="1"/>
      <c r="Y162" s="1"/>
      <c r="Z162" s="1"/>
    </row>
    <row r="163" spans="1:26" ht="15.75" customHeight="1">
      <c r="A163" s="1"/>
      <c r="B163" s="43" t="s">
        <v>170</v>
      </c>
      <c r="C163" s="44">
        <v>572240218362</v>
      </c>
      <c r="D163" s="44">
        <v>360471900688</v>
      </c>
      <c r="E163" s="44">
        <v>834548374286</v>
      </c>
      <c r="F163" s="30">
        <f t="shared" si="9"/>
        <v>0.25375199832505685</v>
      </c>
      <c r="G163" s="44">
        <v>240133535437</v>
      </c>
      <c r="H163" s="44">
        <v>330347656497</v>
      </c>
      <c r="I163" s="6">
        <v>360</v>
      </c>
      <c r="J163" s="34">
        <f t="shared" si="1"/>
        <v>261.6881671691383</v>
      </c>
      <c r="K163" s="44">
        <v>57521110748</v>
      </c>
      <c r="L163" s="22">
        <f>236926202097+1042445428</f>
        <v>237968647525</v>
      </c>
      <c r="M163" s="44">
        <v>411144165006</v>
      </c>
      <c r="N163" s="34">
        <f t="shared" si="2"/>
        <v>208.36660325156214</v>
      </c>
      <c r="O163" s="34">
        <f t="shared" si="3"/>
        <v>151.46409584488975</v>
      </c>
      <c r="P163" s="30">
        <f t="shared" si="4"/>
        <v>318.59067457581068</v>
      </c>
      <c r="Q163" s="44">
        <v>262152976679</v>
      </c>
      <c r="R163" s="44">
        <v>261611696096</v>
      </c>
      <c r="S163" s="30">
        <f t="shared" si="5"/>
        <v>541280583</v>
      </c>
      <c r="T163" s="44">
        <v>458292046535</v>
      </c>
      <c r="U163" s="44">
        <v>376256327751</v>
      </c>
      <c r="V163" s="32">
        <f t="shared" si="6"/>
        <v>1.2180314661399922</v>
      </c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24"/>
      <c r="G164" s="1"/>
      <c r="H164" s="1"/>
      <c r="I164" s="1"/>
      <c r="J164" s="25"/>
      <c r="K164" s="1"/>
      <c r="L164" s="1"/>
      <c r="M164" s="1"/>
      <c r="N164" s="25"/>
      <c r="O164" s="25"/>
      <c r="P164" s="24"/>
      <c r="Q164" s="1"/>
      <c r="R164" s="1"/>
      <c r="S164" s="24"/>
      <c r="T164" s="1"/>
      <c r="U164" s="1"/>
      <c r="V164" s="24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24"/>
      <c r="G165" s="1"/>
      <c r="H165" s="1"/>
      <c r="I165" s="1"/>
      <c r="J165" s="25"/>
      <c r="K165" s="1"/>
      <c r="L165" s="1"/>
      <c r="M165" s="1"/>
      <c r="N165" s="25"/>
      <c r="O165" s="25"/>
      <c r="P165" s="24"/>
      <c r="Q165" s="1"/>
      <c r="R165" s="1"/>
      <c r="S165" s="24"/>
      <c r="T165" s="1"/>
      <c r="U165" s="1"/>
      <c r="V165" s="24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24"/>
      <c r="G166" s="1"/>
      <c r="H166" s="1"/>
      <c r="I166" s="1"/>
      <c r="J166" s="25"/>
      <c r="K166" s="1"/>
      <c r="L166" s="1"/>
      <c r="M166" s="1"/>
      <c r="N166" s="25"/>
      <c r="O166" s="25"/>
      <c r="P166" s="24"/>
      <c r="Q166" s="1"/>
      <c r="R166" s="1"/>
      <c r="S166" s="24"/>
      <c r="T166" s="1"/>
      <c r="U166" s="1"/>
      <c r="V166" s="24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24"/>
      <c r="G167" s="1"/>
      <c r="H167" s="1"/>
      <c r="I167" s="1"/>
      <c r="J167" s="25"/>
      <c r="K167" s="1"/>
      <c r="L167" s="1"/>
      <c r="M167" s="1"/>
      <c r="N167" s="25"/>
      <c r="O167" s="25"/>
      <c r="P167" s="24"/>
      <c r="Q167" s="1"/>
      <c r="R167" s="1"/>
      <c r="S167" s="24"/>
      <c r="T167" s="1"/>
      <c r="U167" s="1"/>
      <c r="V167" s="24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24"/>
      <c r="G168" s="1"/>
      <c r="H168" s="1"/>
      <c r="I168" s="1"/>
      <c r="J168" s="25"/>
      <c r="K168" s="1"/>
      <c r="L168" s="1"/>
      <c r="M168" s="1"/>
      <c r="N168" s="25"/>
      <c r="O168" s="25"/>
      <c r="P168" s="24"/>
      <c r="Q168" s="1"/>
      <c r="R168" s="1"/>
      <c r="S168" s="24"/>
      <c r="T168" s="1"/>
      <c r="U168" s="1"/>
      <c r="V168" s="24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24"/>
      <c r="G169" s="1"/>
      <c r="H169" s="1"/>
      <c r="I169" s="1"/>
      <c r="J169" s="25"/>
      <c r="K169" s="1"/>
      <c r="L169" s="1"/>
      <c r="M169" s="1"/>
      <c r="N169" s="25"/>
      <c r="O169" s="25"/>
      <c r="P169" s="24"/>
      <c r="Q169" s="1"/>
      <c r="R169" s="1"/>
      <c r="S169" s="24"/>
      <c r="T169" s="1"/>
      <c r="U169" s="1"/>
      <c r="V169" s="24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24"/>
      <c r="G170" s="1"/>
      <c r="H170" s="1"/>
      <c r="I170" s="1"/>
      <c r="J170" s="25"/>
      <c r="K170" s="1"/>
      <c r="L170" s="1"/>
      <c r="M170" s="1"/>
      <c r="N170" s="25"/>
      <c r="O170" s="25"/>
      <c r="P170" s="24"/>
      <c r="Q170" s="1"/>
      <c r="R170" s="1"/>
      <c r="S170" s="24"/>
      <c r="T170" s="1"/>
      <c r="U170" s="1"/>
      <c r="V170" s="24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24"/>
      <c r="G171" s="1"/>
      <c r="H171" s="1"/>
      <c r="I171" s="1"/>
      <c r="J171" s="25"/>
      <c r="K171" s="1"/>
      <c r="L171" s="1"/>
      <c r="M171" s="1"/>
      <c r="N171" s="25"/>
      <c r="O171" s="25"/>
      <c r="P171" s="24"/>
      <c r="Q171" s="1"/>
      <c r="R171" s="1"/>
      <c r="S171" s="24"/>
      <c r="T171" s="1"/>
      <c r="U171" s="1"/>
      <c r="V171" s="24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24"/>
      <c r="G172" s="1"/>
      <c r="H172" s="1"/>
      <c r="I172" s="1"/>
      <c r="J172" s="25"/>
      <c r="K172" s="1"/>
      <c r="L172" s="1"/>
      <c r="M172" s="1"/>
      <c r="N172" s="25"/>
      <c r="O172" s="25"/>
      <c r="P172" s="24"/>
      <c r="Q172" s="1"/>
      <c r="R172" s="1"/>
      <c r="S172" s="24"/>
      <c r="T172" s="1"/>
      <c r="U172" s="1"/>
      <c r="V172" s="24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24"/>
      <c r="G173" s="1"/>
      <c r="H173" s="1"/>
      <c r="I173" s="1"/>
      <c r="J173" s="25"/>
      <c r="K173" s="1"/>
      <c r="L173" s="1"/>
      <c r="M173" s="1"/>
      <c r="N173" s="25"/>
      <c r="O173" s="25"/>
      <c r="P173" s="24"/>
      <c r="Q173" s="1"/>
      <c r="R173" s="1"/>
      <c r="S173" s="24"/>
      <c r="T173" s="1"/>
      <c r="U173" s="1"/>
      <c r="V173" s="24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24"/>
      <c r="G174" s="1"/>
      <c r="H174" s="1"/>
      <c r="I174" s="1"/>
      <c r="J174" s="25"/>
      <c r="K174" s="1"/>
      <c r="L174" s="1"/>
      <c r="M174" s="1"/>
      <c r="N174" s="25"/>
      <c r="O174" s="25"/>
      <c r="P174" s="24"/>
      <c r="Q174" s="1"/>
      <c r="R174" s="1"/>
      <c r="S174" s="24"/>
      <c r="T174" s="1"/>
      <c r="U174" s="1"/>
      <c r="V174" s="24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24"/>
      <c r="G175" s="1"/>
      <c r="H175" s="1"/>
      <c r="I175" s="1"/>
      <c r="J175" s="25"/>
      <c r="K175" s="1"/>
      <c r="L175" s="1"/>
      <c r="M175" s="1"/>
      <c r="N175" s="25"/>
      <c r="O175" s="25"/>
      <c r="P175" s="24"/>
      <c r="Q175" s="1"/>
      <c r="R175" s="1"/>
      <c r="S175" s="24"/>
      <c r="T175" s="1"/>
      <c r="U175" s="1"/>
      <c r="V175" s="24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24"/>
      <c r="G176" s="1"/>
      <c r="H176" s="1"/>
      <c r="I176" s="1"/>
      <c r="J176" s="25"/>
      <c r="K176" s="1"/>
      <c r="L176" s="1"/>
      <c r="M176" s="1"/>
      <c r="N176" s="25"/>
      <c r="O176" s="25"/>
      <c r="P176" s="24"/>
      <c r="Q176" s="1"/>
      <c r="R176" s="1"/>
      <c r="S176" s="24"/>
      <c r="T176" s="1"/>
      <c r="U176" s="1"/>
      <c r="V176" s="24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24"/>
      <c r="G177" s="1"/>
      <c r="H177" s="1"/>
      <c r="I177" s="1"/>
      <c r="J177" s="25"/>
      <c r="K177" s="1"/>
      <c r="L177" s="1"/>
      <c r="M177" s="1"/>
      <c r="N177" s="25"/>
      <c r="O177" s="25"/>
      <c r="P177" s="24"/>
      <c r="Q177" s="1"/>
      <c r="R177" s="1"/>
      <c r="S177" s="24"/>
      <c r="T177" s="1"/>
      <c r="U177" s="1"/>
      <c r="V177" s="24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24"/>
      <c r="G178" s="1"/>
      <c r="H178" s="1"/>
      <c r="I178" s="1"/>
      <c r="J178" s="25"/>
      <c r="K178" s="1"/>
      <c r="L178" s="1"/>
      <c r="M178" s="1"/>
      <c r="N178" s="25"/>
      <c r="O178" s="25"/>
      <c r="P178" s="24"/>
      <c r="Q178" s="1"/>
      <c r="R178" s="1"/>
      <c r="S178" s="24"/>
      <c r="T178" s="1"/>
      <c r="U178" s="1"/>
      <c r="V178" s="24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24"/>
      <c r="G179" s="1"/>
      <c r="H179" s="1"/>
      <c r="I179" s="1"/>
      <c r="J179" s="25"/>
      <c r="K179" s="1"/>
      <c r="L179" s="1"/>
      <c r="M179" s="1"/>
      <c r="N179" s="25"/>
      <c r="O179" s="25"/>
      <c r="P179" s="24"/>
      <c r="Q179" s="1"/>
      <c r="R179" s="1"/>
      <c r="S179" s="24"/>
      <c r="T179" s="1"/>
      <c r="U179" s="1"/>
      <c r="V179" s="24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24"/>
      <c r="G180" s="1"/>
      <c r="H180" s="1"/>
      <c r="I180" s="1"/>
      <c r="J180" s="25"/>
      <c r="K180" s="1"/>
      <c r="L180" s="1"/>
      <c r="M180" s="1"/>
      <c r="N180" s="25"/>
      <c r="O180" s="25"/>
      <c r="P180" s="24"/>
      <c r="Q180" s="1"/>
      <c r="R180" s="1"/>
      <c r="S180" s="24"/>
      <c r="T180" s="1"/>
      <c r="U180" s="1"/>
      <c r="V180" s="24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24"/>
      <c r="G181" s="1"/>
      <c r="H181" s="1"/>
      <c r="I181" s="1"/>
      <c r="J181" s="25"/>
      <c r="K181" s="1"/>
      <c r="L181" s="1"/>
      <c r="M181" s="1"/>
      <c r="N181" s="25"/>
      <c r="O181" s="25"/>
      <c r="P181" s="24"/>
      <c r="Q181" s="1"/>
      <c r="R181" s="1"/>
      <c r="S181" s="24"/>
      <c r="T181" s="1"/>
      <c r="U181" s="1"/>
      <c r="V181" s="24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24"/>
      <c r="G182" s="1"/>
      <c r="H182" s="1"/>
      <c r="I182" s="1"/>
      <c r="J182" s="25"/>
      <c r="K182" s="1"/>
      <c r="L182" s="1"/>
      <c r="M182" s="1"/>
      <c r="N182" s="25"/>
      <c r="O182" s="25"/>
      <c r="P182" s="24"/>
      <c r="Q182" s="1"/>
      <c r="R182" s="1"/>
      <c r="S182" s="24"/>
      <c r="T182" s="1"/>
      <c r="U182" s="1"/>
      <c r="V182" s="24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24"/>
      <c r="G183" s="1"/>
      <c r="H183" s="1"/>
      <c r="I183" s="1"/>
      <c r="J183" s="25"/>
      <c r="K183" s="1"/>
      <c r="L183" s="1"/>
      <c r="M183" s="1"/>
      <c r="N183" s="25"/>
      <c r="O183" s="25"/>
      <c r="P183" s="24"/>
      <c r="Q183" s="1"/>
      <c r="R183" s="1"/>
      <c r="S183" s="24"/>
      <c r="T183" s="1"/>
      <c r="U183" s="1"/>
      <c r="V183" s="24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24"/>
      <c r="G184" s="1"/>
      <c r="H184" s="1"/>
      <c r="I184" s="1"/>
      <c r="J184" s="25"/>
      <c r="K184" s="1"/>
      <c r="L184" s="1"/>
      <c r="M184" s="1"/>
      <c r="N184" s="25"/>
      <c r="O184" s="25"/>
      <c r="P184" s="24"/>
      <c r="Q184" s="1"/>
      <c r="R184" s="1"/>
      <c r="S184" s="24"/>
      <c r="T184" s="1"/>
      <c r="U184" s="1"/>
      <c r="V184" s="24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24"/>
      <c r="G185" s="1"/>
      <c r="H185" s="1"/>
      <c r="I185" s="1"/>
      <c r="J185" s="25"/>
      <c r="K185" s="1"/>
      <c r="L185" s="1"/>
      <c r="M185" s="1"/>
      <c r="N185" s="25"/>
      <c r="O185" s="25"/>
      <c r="P185" s="24"/>
      <c r="Q185" s="1"/>
      <c r="R185" s="1"/>
      <c r="S185" s="24"/>
      <c r="T185" s="1"/>
      <c r="U185" s="1"/>
      <c r="V185" s="24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24"/>
      <c r="G186" s="1"/>
      <c r="H186" s="1"/>
      <c r="I186" s="1"/>
      <c r="J186" s="25"/>
      <c r="K186" s="1"/>
      <c r="L186" s="1"/>
      <c r="M186" s="1"/>
      <c r="N186" s="25"/>
      <c r="O186" s="25"/>
      <c r="P186" s="24"/>
      <c r="Q186" s="1"/>
      <c r="R186" s="1"/>
      <c r="S186" s="24"/>
      <c r="T186" s="1"/>
      <c r="U186" s="1"/>
      <c r="V186" s="24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24"/>
      <c r="G187" s="1"/>
      <c r="H187" s="1"/>
      <c r="I187" s="1"/>
      <c r="J187" s="25"/>
      <c r="K187" s="1"/>
      <c r="L187" s="1"/>
      <c r="M187" s="1"/>
      <c r="N187" s="25"/>
      <c r="O187" s="25"/>
      <c r="P187" s="24"/>
      <c r="Q187" s="1"/>
      <c r="R187" s="1"/>
      <c r="S187" s="24"/>
      <c r="T187" s="1"/>
      <c r="U187" s="1"/>
      <c r="V187" s="24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24"/>
      <c r="G188" s="1"/>
      <c r="H188" s="1"/>
      <c r="I188" s="1"/>
      <c r="J188" s="25"/>
      <c r="K188" s="1"/>
      <c r="L188" s="1"/>
      <c r="M188" s="1"/>
      <c r="N188" s="25"/>
      <c r="O188" s="25"/>
      <c r="P188" s="24"/>
      <c r="Q188" s="1"/>
      <c r="R188" s="1"/>
      <c r="S188" s="24"/>
      <c r="T188" s="1"/>
      <c r="U188" s="1"/>
      <c r="V188" s="24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24"/>
      <c r="G189" s="1"/>
      <c r="H189" s="1"/>
      <c r="I189" s="1"/>
      <c r="J189" s="25"/>
      <c r="K189" s="1"/>
      <c r="L189" s="1"/>
      <c r="M189" s="1"/>
      <c r="N189" s="25"/>
      <c r="O189" s="25"/>
      <c r="P189" s="24"/>
      <c r="Q189" s="1"/>
      <c r="R189" s="1"/>
      <c r="S189" s="24"/>
      <c r="T189" s="1"/>
      <c r="U189" s="1"/>
      <c r="V189" s="24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24"/>
      <c r="G190" s="1"/>
      <c r="H190" s="1"/>
      <c r="I190" s="1"/>
      <c r="J190" s="25"/>
      <c r="K190" s="1"/>
      <c r="L190" s="1"/>
      <c r="M190" s="1"/>
      <c r="N190" s="25"/>
      <c r="O190" s="25"/>
      <c r="P190" s="24"/>
      <c r="Q190" s="1"/>
      <c r="R190" s="1"/>
      <c r="S190" s="24"/>
      <c r="T190" s="1"/>
      <c r="U190" s="1"/>
      <c r="V190" s="24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24"/>
      <c r="G191" s="1"/>
      <c r="H191" s="1"/>
      <c r="I191" s="1"/>
      <c r="J191" s="25"/>
      <c r="K191" s="1"/>
      <c r="L191" s="1"/>
      <c r="M191" s="1"/>
      <c r="N191" s="25"/>
      <c r="O191" s="25"/>
      <c r="P191" s="24"/>
      <c r="Q191" s="1"/>
      <c r="R191" s="1"/>
      <c r="S191" s="24"/>
      <c r="T191" s="1"/>
      <c r="U191" s="1"/>
      <c r="V191" s="24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24"/>
      <c r="G192" s="1"/>
      <c r="H192" s="1"/>
      <c r="I192" s="1"/>
      <c r="J192" s="25"/>
      <c r="K192" s="1"/>
      <c r="L192" s="1"/>
      <c r="M192" s="1"/>
      <c r="N192" s="25"/>
      <c r="O192" s="25"/>
      <c r="P192" s="24"/>
      <c r="Q192" s="1"/>
      <c r="R192" s="1"/>
      <c r="S192" s="24"/>
      <c r="T192" s="1"/>
      <c r="U192" s="1"/>
      <c r="V192" s="24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24"/>
      <c r="G193" s="1"/>
      <c r="H193" s="1"/>
      <c r="I193" s="1"/>
      <c r="J193" s="25"/>
      <c r="K193" s="1"/>
      <c r="L193" s="1"/>
      <c r="M193" s="1"/>
      <c r="N193" s="25"/>
      <c r="O193" s="25"/>
      <c r="P193" s="24"/>
      <c r="Q193" s="1"/>
      <c r="R193" s="1"/>
      <c r="S193" s="24"/>
      <c r="T193" s="1"/>
      <c r="U193" s="1"/>
      <c r="V193" s="24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24"/>
      <c r="G194" s="1"/>
      <c r="H194" s="1"/>
      <c r="I194" s="1"/>
      <c r="J194" s="25"/>
      <c r="K194" s="1"/>
      <c r="L194" s="1"/>
      <c r="M194" s="1"/>
      <c r="N194" s="25"/>
      <c r="O194" s="25"/>
      <c r="P194" s="24"/>
      <c r="Q194" s="1"/>
      <c r="R194" s="1"/>
      <c r="S194" s="24"/>
      <c r="T194" s="1"/>
      <c r="U194" s="1"/>
      <c r="V194" s="24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24"/>
      <c r="G195" s="1"/>
      <c r="H195" s="1"/>
      <c r="I195" s="1"/>
      <c r="J195" s="25"/>
      <c r="K195" s="1"/>
      <c r="L195" s="1"/>
      <c r="M195" s="1"/>
      <c r="N195" s="25"/>
      <c r="O195" s="25"/>
      <c r="P195" s="24"/>
      <c r="Q195" s="1"/>
      <c r="R195" s="1"/>
      <c r="S195" s="24"/>
      <c r="T195" s="1"/>
      <c r="U195" s="1"/>
      <c r="V195" s="24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24"/>
      <c r="G196" s="1"/>
      <c r="H196" s="1"/>
      <c r="I196" s="1"/>
      <c r="J196" s="25"/>
      <c r="K196" s="1"/>
      <c r="L196" s="1"/>
      <c r="M196" s="1"/>
      <c r="N196" s="25"/>
      <c r="O196" s="25"/>
      <c r="P196" s="24"/>
      <c r="Q196" s="1"/>
      <c r="R196" s="1"/>
      <c r="S196" s="24"/>
      <c r="T196" s="1"/>
      <c r="U196" s="1"/>
      <c r="V196" s="24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24"/>
      <c r="G197" s="1"/>
      <c r="H197" s="1"/>
      <c r="I197" s="1"/>
      <c r="J197" s="25"/>
      <c r="K197" s="1"/>
      <c r="L197" s="1"/>
      <c r="M197" s="1"/>
      <c r="N197" s="25"/>
      <c r="O197" s="25"/>
      <c r="P197" s="24"/>
      <c r="Q197" s="1"/>
      <c r="R197" s="1"/>
      <c r="S197" s="24"/>
      <c r="T197" s="1"/>
      <c r="U197" s="1"/>
      <c r="V197" s="24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24"/>
      <c r="G198" s="1"/>
      <c r="H198" s="1"/>
      <c r="I198" s="1"/>
      <c r="J198" s="25"/>
      <c r="K198" s="1"/>
      <c r="L198" s="1"/>
      <c r="M198" s="1"/>
      <c r="N198" s="25"/>
      <c r="O198" s="25"/>
      <c r="P198" s="24"/>
      <c r="Q198" s="1"/>
      <c r="R198" s="1"/>
      <c r="S198" s="24"/>
      <c r="T198" s="1"/>
      <c r="U198" s="1"/>
      <c r="V198" s="24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24"/>
      <c r="G199" s="1"/>
      <c r="H199" s="1"/>
      <c r="I199" s="1"/>
      <c r="J199" s="25"/>
      <c r="K199" s="1"/>
      <c r="L199" s="1"/>
      <c r="M199" s="1"/>
      <c r="N199" s="25"/>
      <c r="O199" s="25"/>
      <c r="P199" s="24"/>
      <c r="Q199" s="1"/>
      <c r="R199" s="1"/>
      <c r="S199" s="24"/>
      <c r="T199" s="1"/>
      <c r="U199" s="1"/>
      <c r="V199" s="24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24"/>
      <c r="G200" s="1"/>
      <c r="H200" s="1"/>
      <c r="I200" s="1"/>
      <c r="J200" s="25"/>
      <c r="K200" s="1"/>
      <c r="L200" s="1"/>
      <c r="M200" s="1"/>
      <c r="N200" s="25"/>
      <c r="O200" s="25"/>
      <c r="P200" s="24"/>
      <c r="Q200" s="1"/>
      <c r="R200" s="1"/>
      <c r="S200" s="24"/>
      <c r="T200" s="1"/>
      <c r="U200" s="1"/>
      <c r="V200" s="24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24"/>
      <c r="G201" s="1"/>
      <c r="H201" s="1"/>
      <c r="I201" s="1"/>
      <c r="J201" s="25"/>
      <c r="K201" s="1"/>
      <c r="L201" s="1"/>
      <c r="M201" s="1"/>
      <c r="N201" s="25"/>
      <c r="O201" s="25"/>
      <c r="P201" s="24"/>
      <c r="Q201" s="1"/>
      <c r="R201" s="1"/>
      <c r="S201" s="24"/>
      <c r="T201" s="1"/>
      <c r="U201" s="1"/>
      <c r="V201" s="24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24"/>
      <c r="G202" s="1"/>
      <c r="H202" s="1"/>
      <c r="I202" s="1"/>
      <c r="J202" s="25"/>
      <c r="K202" s="1"/>
      <c r="L202" s="1"/>
      <c r="M202" s="1"/>
      <c r="N202" s="25"/>
      <c r="O202" s="25"/>
      <c r="P202" s="24"/>
      <c r="Q202" s="1"/>
      <c r="R202" s="1"/>
      <c r="S202" s="24"/>
      <c r="T202" s="1"/>
      <c r="U202" s="1"/>
      <c r="V202" s="24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24"/>
      <c r="G203" s="1"/>
      <c r="H203" s="1"/>
      <c r="I203" s="1"/>
      <c r="J203" s="25"/>
      <c r="K203" s="1"/>
      <c r="L203" s="1"/>
      <c r="M203" s="1"/>
      <c r="N203" s="25"/>
      <c r="O203" s="25"/>
      <c r="P203" s="24"/>
      <c r="Q203" s="1"/>
      <c r="R203" s="1"/>
      <c r="S203" s="24"/>
      <c r="T203" s="1"/>
      <c r="U203" s="1"/>
      <c r="V203" s="24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24"/>
      <c r="G204" s="1"/>
      <c r="H204" s="1"/>
      <c r="I204" s="1"/>
      <c r="J204" s="25"/>
      <c r="K204" s="1"/>
      <c r="L204" s="1"/>
      <c r="M204" s="1"/>
      <c r="N204" s="25"/>
      <c r="O204" s="25"/>
      <c r="P204" s="24"/>
      <c r="Q204" s="1"/>
      <c r="R204" s="1"/>
      <c r="S204" s="24"/>
      <c r="T204" s="1"/>
      <c r="U204" s="1"/>
      <c r="V204" s="24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24"/>
      <c r="G205" s="1"/>
      <c r="H205" s="1"/>
      <c r="I205" s="1"/>
      <c r="J205" s="25"/>
      <c r="K205" s="1"/>
      <c r="L205" s="1"/>
      <c r="M205" s="1"/>
      <c r="N205" s="25"/>
      <c r="O205" s="25"/>
      <c r="P205" s="24"/>
      <c r="Q205" s="1"/>
      <c r="R205" s="1"/>
      <c r="S205" s="24"/>
      <c r="T205" s="1"/>
      <c r="U205" s="1"/>
      <c r="V205" s="24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24"/>
      <c r="G206" s="1"/>
      <c r="H206" s="1"/>
      <c r="I206" s="1"/>
      <c r="J206" s="25"/>
      <c r="K206" s="1"/>
      <c r="L206" s="1"/>
      <c r="M206" s="1"/>
      <c r="N206" s="25"/>
      <c r="O206" s="25"/>
      <c r="P206" s="24"/>
      <c r="Q206" s="1"/>
      <c r="R206" s="1"/>
      <c r="S206" s="24"/>
      <c r="T206" s="1"/>
      <c r="U206" s="1"/>
      <c r="V206" s="24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24"/>
      <c r="G207" s="1"/>
      <c r="H207" s="1"/>
      <c r="I207" s="1"/>
      <c r="J207" s="25"/>
      <c r="K207" s="1"/>
      <c r="L207" s="1"/>
      <c r="M207" s="1"/>
      <c r="N207" s="25"/>
      <c r="O207" s="25"/>
      <c r="P207" s="24"/>
      <c r="Q207" s="1"/>
      <c r="R207" s="1"/>
      <c r="S207" s="24"/>
      <c r="T207" s="1"/>
      <c r="U207" s="1"/>
      <c r="V207" s="24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24"/>
      <c r="G208" s="1"/>
      <c r="H208" s="1"/>
      <c r="I208" s="1"/>
      <c r="J208" s="25"/>
      <c r="K208" s="1"/>
      <c r="L208" s="1"/>
      <c r="M208" s="1"/>
      <c r="N208" s="25"/>
      <c r="O208" s="25"/>
      <c r="P208" s="24"/>
      <c r="Q208" s="1"/>
      <c r="R208" s="1"/>
      <c r="S208" s="24"/>
      <c r="T208" s="1"/>
      <c r="U208" s="1"/>
      <c r="V208" s="24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24"/>
      <c r="G209" s="1"/>
      <c r="H209" s="1"/>
      <c r="I209" s="1"/>
      <c r="J209" s="25"/>
      <c r="K209" s="1"/>
      <c r="L209" s="1"/>
      <c r="M209" s="1"/>
      <c r="N209" s="25"/>
      <c r="O209" s="25"/>
      <c r="P209" s="24"/>
      <c r="Q209" s="1"/>
      <c r="R209" s="1"/>
      <c r="S209" s="24"/>
      <c r="T209" s="1"/>
      <c r="U209" s="1"/>
      <c r="V209" s="24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24"/>
      <c r="G210" s="1"/>
      <c r="H210" s="1"/>
      <c r="I210" s="1"/>
      <c r="J210" s="25"/>
      <c r="K210" s="1"/>
      <c r="L210" s="1"/>
      <c r="M210" s="1"/>
      <c r="N210" s="25"/>
      <c r="O210" s="25"/>
      <c r="P210" s="24"/>
      <c r="Q210" s="1"/>
      <c r="R210" s="1"/>
      <c r="S210" s="24"/>
      <c r="T210" s="1"/>
      <c r="U210" s="1"/>
      <c r="V210" s="24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24"/>
      <c r="G211" s="1"/>
      <c r="H211" s="1"/>
      <c r="I211" s="1"/>
      <c r="J211" s="25"/>
      <c r="K211" s="1"/>
      <c r="L211" s="1"/>
      <c r="M211" s="1"/>
      <c r="N211" s="25"/>
      <c r="O211" s="25"/>
      <c r="P211" s="24"/>
      <c r="Q211" s="1"/>
      <c r="R211" s="1"/>
      <c r="S211" s="24"/>
      <c r="T211" s="1"/>
      <c r="U211" s="1"/>
      <c r="V211" s="24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24"/>
      <c r="G212" s="1"/>
      <c r="H212" s="1"/>
      <c r="I212" s="1"/>
      <c r="J212" s="25"/>
      <c r="K212" s="1"/>
      <c r="L212" s="1"/>
      <c r="M212" s="1"/>
      <c r="N212" s="25"/>
      <c r="O212" s="25"/>
      <c r="P212" s="24"/>
      <c r="Q212" s="1"/>
      <c r="R212" s="1"/>
      <c r="S212" s="24"/>
      <c r="T212" s="1"/>
      <c r="U212" s="1"/>
      <c r="V212" s="24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24"/>
      <c r="G213" s="1"/>
      <c r="H213" s="1"/>
      <c r="I213" s="1"/>
      <c r="J213" s="25"/>
      <c r="K213" s="1"/>
      <c r="L213" s="1"/>
      <c r="M213" s="1"/>
      <c r="N213" s="25"/>
      <c r="O213" s="25"/>
      <c r="P213" s="24"/>
      <c r="Q213" s="1"/>
      <c r="R213" s="1"/>
      <c r="S213" s="24"/>
      <c r="T213" s="1"/>
      <c r="U213" s="1"/>
      <c r="V213" s="24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24"/>
      <c r="G214" s="1"/>
      <c r="H214" s="1"/>
      <c r="I214" s="1"/>
      <c r="J214" s="25"/>
      <c r="K214" s="1"/>
      <c r="L214" s="1"/>
      <c r="M214" s="1"/>
      <c r="N214" s="25"/>
      <c r="O214" s="25"/>
      <c r="P214" s="24"/>
      <c r="Q214" s="1"/>
      <c r="R214" s="1"/>
      <c r="S214" s="24"/>
      <c r="T214" s="1"/>
      <c r="U214" s="1"/>
      <c r="V214" s="24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24"/>
      <c r="G215" s="1"/>
      <c r="H215" s="1"/>
      <c r="I215" s="1"/>
      <c r="J215" s="25"/>
      <c r="K215" s="1"/>
      <c r="L215" s="1"/>
      <c r="M215" s="1"/>
      <c r="N215" s="25"/>
      <c r="O215" s="25"/>
      <c r="P215" s="24"/>
      <c r="Q215" s="1"/>
      <c r="R215" s="1"/>
      <c r="S215" s="24"/>
      <c r="T215" s="1"/>
      <c r="U215" s="1"/>
      <c r="V215" s="24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24"/>
      <c r="G216" s="1"/>
      <c r="H216" s="1"/>
      <c r="I216" s="1"/>
      <c r="J216" s="25"/>
      <c r="K216" s="1"/>
      <c r="L216" s="1"/>
      <c r="M216" s="1"/>
      <c r="N216" s="25"/>
      <c r="O216" s="25"/>
      <c r="P216" s="24"/>
      <c r="Q216" s="1"/>
      <c r="R216" s="1"/>
      <c r="S216" s="24"/>
      <c r="T216" s="1"/>
      <c r="U216" s="1"/>
      <c r="V216" s="24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24"/>
      <c r="G217" s="1"/>
      <c r="H217" s="1"/>
      <c r="I217" s="1"/>
      <c r="J217" s="25"/>
      <c r="K217" s="1"/>
      <c r="L217" s="1"/>
      <c r="M217" s="1"/>
      <c r="N217" s="25"/>
      <c r="O217" s="25"/>
      <c r="P217" s="24"/>
      <c r="Q217" s="1"/>
      <c r="R217" s="1"/>
      <c r="S217" s="24"/>
      <c r="T217" s="1"/>
      <c r="U217" s="1"/>
      <c r="V217" s="24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24"/>
      <c r="G218" s="1"/>
      <c r="H218" s="1"/>
      <c r="I218" s="1"/>
      <c r="J218" s="25"/>
      <c r="K218" s="1"/>
      <c r="L218" s="1"/>
      <c r="M218" s="1"/>
      <c r="N218" s="25"/>
      <c r="O218" s="25"/>
      <c r="P218" s="24"/>
      <c r="Q218" s="1"/>
      <c r="R218" s="1"/>
      <c r="S218" s="24"/>
      <c r="T218" s="1"/>
      <c r="U218" s="1"/>
      <c r="V218" s="24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24"/>
      <c r="G219" s="1"/>
      <c r="H219" s="1"/>
      <c r="I219" s="1"/>
      <c r="J219" s="25"/>
      <c r="K219" s="1"/>
      <c r="L219" s="1"/>
      <c r="M219" s="1"/>
      <c r="N219" s="25"/>
      <c r="O219" s="25"/>
      <c r="P219" s="24"/>
      <c r="Q219" s="1"/>
      <c r="R219" s="1"/>
      <c r="S219" s="24"/>
      <c r="T219" s="1"/>
      <c r="U219" s="1"/>
      <c r="V219" s="24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24"/>
      <c r="G220" s="1"/>
      <c r="H220" s="1"/>
      <c r="I220" s="1"/>
      <c r="J220" s="25"/>
      <c r="K220" s="1"/>
      <c r="L220" s="1"/>
      <c r="M220" s="1"/>
      <c r="N220" s="25"/>
      <c r="O220" s="25"/>
      <c r="P220" s="24"/>
      <c r="Q220" s="1"/>
      <c r="R220" s="1"/>
      <c r="S220" s="24"/>
      <c r="T220" s="1"/>
      <c r="U220" s="1"/>
      <c r="V220" s="24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24"/>
      <c r="G221" s="1"/>
      <c r="H221" s="1"/>
      <c r="I221" s="1"/>
      <c r="J221" s="25"/>
      <c r="K221" s="1"/>
      <c r="L221" s="1"/>
      <c r="M221" s="1"/>
      <c r="N221" s="25"/>
      <c r="O221" s="25"/>
      <c r="P221" s="24"/>
      <c r="Q221" s="1"/>
      <c r="R221" s="1"/>
      <c r="S221" s="24"/>
      <c r="T221" s="1"/>
      <c r="U221" s="1"/>
      <c r="V221" s="24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24"/>
      <c r="G222" s="1"/>
      <c r="H222" s="1"/>
      <c r="I222" s="1"/>
      <c r="J222" s="25"/>
      <c r="K222" s="1"/>
      <c r="L222" s="1"/>
      <c r="M222" s="1"/>
      <c r="N222" s="25"/>
      <c r="O222" s="25"/>
      <c r="P222" s="24"/>
      <c r="Q222" s="1"/>
      <c r="R222" s="1"/>
      <c r="S222" s="24"/>
      <c r="T222" s="1"/>
      <c r="U222" s="1"/>
      <c r="V222" s="24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24"/>
      <c r="G223" s="1"/>
      <c r="H223" s="1"/>
      <c r="I223" s="1"/>
      <c r="J223" s="25"/>
      <c r="K223" s="1"/>
      <c r="L223" s="1"/>
      <c r="M223" s="1"/>
      <c r="N223" s="25"/>
      <c r="O223" s="25"/>
      <c r="P223" s="24"/>
      <c r="Q223" s="1"/>
      <c r="R223" s="1"/>
      <c r="S223" s="24"/>
      <c r="T223" s="1"/>
      <c r="U223" s="1"/>
      <c r="V223" s="24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24"/>
      <c r="G224" s="1"/>
      <c r="H224" s="1"/>
      <c r="I224" s="1"/>
      <c r="J224" s="25"/>
      <c r="K224" s="1"/>
      <c r="L224" s="1"/>
      <c r="M224" s="1"/>
      <c r="N224" s="25"/>
      <c r="O224" s="25"/>
      <c r="P224" s="24"/>
      <c r="Q224" s="1"/>
      <c r="R224" s="1"/>
      <c r="S224" s="24"/>
      <c r="T224" s="1"/>
      <c r="U224" s="1"/>
      <c r="V224" s="24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24"/>
      <c r="G225" s="1"/>
      <c r="H225" s="1"/>
      <c r="I225" s="1"/>
      <c r="J225" s="25"/>
      <c r="K225" s="1"/>
      <c r="L225" s="1"/>
      <c r="M225" s="1"/>
      <c r="N225" s="25"/>
      <c r="O225" s="25"/>
      <c r="P225" s="24"/>
      <c r="Q225" s="1"/>
      <c r="R225" s="1"/>
      <c r="S225" s="24"/>
      <c r="T225" s="1"/>
      <c r="U225" s="1"/>
      <c r="V225" s="24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24"/>
      <c r="G226" s="1"/>
      <c r="H226" s="1"/>
      <c r="I226" s="1"/>
      <c r="J226" s="25"/>
      <c r="K226" s="1"/>
      <c r="L226" s="1"/>
      <c r="M226" s="1"/>
      <c r="N226" s="25"/>
      <c r="O226" s="25"/>
      <c r="P226" s="24"/>
      <c r="Q226" s="1"/>
      <c r="R226" s="1"/>
      <c r="S226" s="24"/>
      <c r="T226" s="1"/>
      <c r="U226" s="1"/>
      <c r="V226" s="24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24"/>
      <c r="G227" s="1"/>
      <c r="H227" s="1"/>
      <c r="I227" s="1"/>
      <c r="J227" s="25"/>
      <c r="K227" s="1"/>
      <c r="L227" s="1"/>
      <c r="M227" s="1"/>
      <c r="N227" s="25"/>
      <c r="O227" s="25"/>
      <c r="P227" s="24"/>
      <c r="Q227" s="1"/>
      <c r="R227" s="1"/>
      <c r="S227" s="24"/>
      <c r="T227" s="1"/>
      <c r="U227" s="1"/>
      <c r="V227" s="24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24"/>
      <c r="G228" s="1"/>
      <c r="H228" s="1"/>
      <c r="I228" s="1"/>
      <c r="J228" s="25"/>
      <c r="K228" s="1"/>
      <c r="L228" s="1"/>
      <c r="M228" s="1"/>
      <c r="N228" s="25"/>
      <c r="O228" s="25"/>
      <c r="P228" s="24"/>
      <c r="Q228" s="1"/>
      <c r="R228" s="1"/>
      <c r="S228" s="24"/>
      <c r="T228" s="1"/>
      <c r="U228" s="1"/>
      <c r="V228" s="24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24"/>
      <c r="G229" s="1"/>
      <c r="H229" s="1"/>
      <c r="I229" s="1"/>
      <c r="J229" s="25"/>
      <c r="K229" s="1"/>
      <c r="L229" s="1"/>
      <c r="M229" s="1"/>
      <c r="N229" s="25"/>
      <c r="O229" s="25"/>
      <c r="P229" s="24"/>
      <c r="Q229" s="1"/>
      <c r="R229" s="1"/>
      <c r="S229" s="24"/>
      <c r="T229" s="1"/>
      <c r="U229" s="1"/>
      <c r="V229" s="24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24"/>
      <c r="G230" s="1"/>
      <c r="H230" s="1"/>
      <c r="I230" s="1"/>
      <c r="J230" s="25"/>
      <c r="K230" s="1"/>
      <c r="L230" s="1"/>
      <c r="M230" s="1"/>
      <c r="N230" s="25"/>
      <c r="O230" s="25"/>
      <c r="P230" s="24"/>
      <c r="Q230" s="1"/>
      <c r="R230" s="1"/>
      <c r="S230" s="24"/>
      <c r="T230" s="1"/>
      <c r="U230" s="1"/>
      <c r="V230" s="24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24"/>
      <c r="G231" s="1"/>
      <c r="H231" s="1"/>
      <c r="I231" s="1"/>
      <c r="J231" s="25"/>
      <c r="K231" s="1"/>
      <c r="L231" s="1"/>
      <c r="M231" s="1"/>
      <c r="N231" s="25"/>
      <c r="O231" s="25"/>
      <c r="P231" s="24"/>
      <c r="Q231" s="1"/>
      <c r="R231" s="1"/>
      <c r="S231" s="24"/>
      <c r="T231" s="1"/>
      <c r="U231" s="1"/>
      <c r="V231" s="24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24"/>
      <c r="G232" s="1"/>
      <c r="H232" s="1"/>
      <c r="I232" s="1"/>
      <c r="J232" s="25"/>
      <c r="K232" s="1"/>
      <c r="L232" s="1"/>
      <c r="M232" s="1"/>
      <c r="N232" s="25"/>
      <c r="O232" s="25"/>
      <c r="P232" s="24"/>
      <c r="Q232" s="1"/>
      <c r="R232" s="1"/>
      <c r="S232" s="24"/>
      <c r="T232" s="1"/>
      <c r="U232" s="1"/>
      <c r="V232" s="24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24"/>
      <c r="G233" s="1"/>
      <c r="H233" s="1"/>
      <c r="I233" s="1"/>
      <c r="J233" s="25"/>
      <c r="K233" s="1"/>
      <c r="L233" s="1"/>
      <c r="M233" s="1"/>
      <c r="N233" s="25"/>
      <c r="O233" s="25"/>
      <c r="P233" s="24"/>
      <c r="Q233" s="1"/>
      <c r="R233" s="1"/>
      <c r="S233" s="24"/>
      <c r="T233" s="1"/>
      <c r="U233" s="1"/>
      <c r="V233" s="24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24"/>
      <c r="G234" s="1"/>
      <c r="H234" s="1"/>
      <c r="I234" s="1"/>
      <c r="J234" s="25"/>
      <c r="K234" s="1"/>
      <c r="L234" s="1"/>
      <c r="M234" s="1"/>
      <c r="N234" s="25"/>
      <c r="O234" s="25"/>
      <c r="P234" s="24"/>
      <c r="Q234" s="1"/>
      <c r="R234" s="1"/>
      <c r="S234" s="24"/>
      <c r="T234" s="1"/>
      <c r="U234" s="1"/>
      <c r="V234" s="24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24"/>
      <c r="G235" s="1"/>
      <c r="H235" s="1"/>
      <c r="I235" s="1"/>
      <c r="J235" s="25"/>
      <c r="K235" s="1"/>
      <c r="L235" s="1"/>
      <c r="M235" s="1"/>
      <c r="N235" s="25"/>
      <c r="O235" s="25"/>
      <c r="P235" s="24"/>
      <c r="Q235" s="1"/>
      <c r="R235" s="1"/>
      <c r="S235" s="24"/>
      <c r="T235" s="1"/>
      <c r="U235" s="1"/>
      <c r="V235" s="24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24"/>
      <c r="G236" s="1"/>
      <c r="H236" s="1"/>
      <c r="I236" s="1"/>
      <c r="J236" s="25"/>
      <c r="K236" s="1"/>
      <c r="L236" s="1"/>
      <c r="M236" s="1"/>
      <c r="N236" s="25"/>
      <c r="O236" s="25"/>
      <c r="P236" s="24"/>
      <c r="Q236" s="1"/>
      <c r="R236" s="1"/>
      <c r="S236" s="24"/>
      <c r="T236" s="1"/>
      <c r="U236" s="1"/>
      <c r="V236" s="24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24"/>
      <c r="G237" s="1"/>
      <c r="H237" s="1"/>
      <c r="I237" s="1"/>
      <c r="J237" s="25"/>
      <c r="K237" s="1"/>
      <c r="L237" s="1"/>
      <c r="M237" s="1"/>
      <c r="N237" s="25"/>
      <c r="O237" s="25"/>
      <c r="P237" s="24"/>
      <c r="Q237" s="1"/>
      <c r="R237" s="1"/>
      <c r="S237" s="24"/>
      <c r="T237" s="1"/>
      <c r="U237" s="1"/>
      <c r="V237" s="24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24"/>
      <c r="G238" s="1"/>
      <c r="H238" s="1"/>
      <c r="I238" s="1"/>
      <c r="J238" s="25"/>
      <c r="K238" s="1"/>
      <c r="L238" s="1"/>
      <c r="M238" s="1"/>
      <c r="N238" s="25"/>
      <c r="O238" s="25"/>
      <c r="P238" s="24"/>
      <c r="Q238" s="1"/>
      <c r="R238" s="1"/>
      <c r="S238" s="24"/>
      <c r="T238" s="1"/>
      <c r="U238" s="1"/>
      <c r="V238" s="24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24"/>
      <c r="G239" s="1"/>
      <c r="H239" s="1"/>
      <c r="I239" s="1"/>
      <c r="J239" s="25"/>
      <c r="K239" s="1"/>
      <c r="L239" s="1"/>
      <c r="M239" s="1"/>
      <c r="N239" s="25"/>
      <c r="O239" s="25"/>
      <c r="P239" s="24"/>
      <c r="Q239" s="1"/>
      <c r="R239" s="1"/>
      <c r="S239" s="24"/>
      <c r="T239" s="1"/>
      <c r="U239" s="1"/>
      <c r="V239" s="24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24"/>
      <c r="G240" s="1"/>
      <c r="H240" s="1"/>
      <c r="I240" s="1"/>
      <c r="J240" s="25"/>
      <c r="K240" s="1"/>
      <c r="L240" s="1"/>
      <c r="M240" s="1"/>
      <c r="N240" s="25"/>
      <c r="O240" s="25"/>
      <c r="P240" s="24"/>
      <c r="Q240" s="1"/>
      <c r="R240" s="1"/>
      <c r="S240" s="24"/>
      <c r="T240" s="1"/>
      <c r="U240" s="1"/>
      <c r="V240" s="24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24"/>
      <c r="G241" s="1"/>
      <c r="H241" s="1"/>
      <c r="I241" s="1"/>
      <c r="J241" s="25"/>
      <c r="K241" s="1"/>
      <c r="L241" s="1"/>
      <c r="M241" s="1"/>
      <c r="N241" s="25"/>
      <c r="O241" s="25"/>
      <c r="P241" s="24"/>
      <c r="Q241" s="1"/>
      <c r="R241" s="1"/>
      <c r="S241" s="24"/>
      <c r="T241" s="1"/>
      <c r="U241" s="1"/>
      <c r="V241" s="24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24"/>
      <c r="G242" s="1"/>
      <c r="H242" s="1"/>
      <c r="I242" s="1"/>
      <c r="J242" s="25"/>
      <c r="K242" s="1"/>
      <c r="L242" s="1"/>
      <c r="M242" s="1"/>
      <c r="N242" s="25"/>
      <c r="O242" s="25"/>
      <c r="P242" s="24"/>
      <c r="Q242" s="1"/>
      <c r="R242" s="1"/>
      <c r="S242" s="24"/>
      <c r="T242" s="1"/>
      <c r="U242" s="1"/>
      <c r="V242" s="24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24"/>
      <c r="G243" s="1"/>
      <c r="H243" s="1"/>
      <c r="I243" s="1"/>
      <c r="J243" s="25"/>
      <c r="K243" s="1"/>
      <c r="L243" s="1"/>
      <c r="M243" s="1"/>
      <c r="N243" s="25"/>
      <c r="O243" s="25"/>
      <c r="P243" s="24"/>
      <c r="Q243" s="1"/>
      <c r="R243" s="1"/>
      <c r="S243" s="24"/>
      <c r="T243" s="1"/>
      <c r="U243" s="1"/>
      <c r="V243" s="24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24"/>
      <c r="G244" s="1"/>
      <c r="H244" s="1"/>
      <c r="I244" s="1"/>
      <c r="J244" s="25"/>
      <c r="K244" s="1"/>
      <c r="L244" s="1"/>
      <c r="M244" s="1"/>
      <c r="N244" s="25"/>
      <c r="O244" s="25"/>
      <c r="P244" s="24"/>
      <c r="Q244" s="1"/>
      <c r="R244" s="1"/>
      <c r="S244" s="24"/>
      <c r="T244" s="1"/>
      <c r="U244" s="1"/>
      <c r="V244" s="24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24"/>
      <c r="G245" s="1"/>
      <c r="H245" s="1"/>
      <c r="I245" s="1"/>
      <c r="J245" s="25"/>
      <c r="K245" s="1"/>
      <c r="L245" s="1"/>
      <c r="M245" s="1"/>
      <c r="N245" s="25"/>
      <c r="O245" s="25"/>
      <c r="P245" s="24"/>
      <c r="Q245" s="1"/>
      <c r="R245" s="1"/>
      <c r="S245" s="24"/>
      <c r="T245" s="1"/>
      <c r="U245" s="1"/>
      <c r="V245" s="24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24"/>
      <c r="G246" s="1"/>
      <c r="H246" s="1"/>
      <c r="I246" s="1"/>
      <c r="J246" s="25"/>
      <c r="K246" s="1"/>
      <c r="L246" s="1"/>
      <c r="M246" s="1"/>
      <c r="N246" s="25"/>
      <c r="O246" s="25"/>
      <c r="P246" s="24"/>
      <c r="Q246" s="1"/>
      <c r="R246" s="1"/>
      <c r="S246" s="24"/>
      <c r="T246" s="1"/>
      <c r="U246" s="1"/>
      <c r="V246" s="24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24"/>
      <c r="G247" s="1"/>
      <c r="H247" s="1"/>
      <c r="I247" s="1"/>
      <c r="J247" s="25"/>
      <c r="K247" s="1"/>
      <c r="L247" s="1"/>
      <c r="M247" s="1"/>
      <c r="N247" s="25"/>
      <c r="O247" s="25"/>
      <c r="P247" s="24"/>
      <c r="Q247" s="1"/>
      <c r="R247" s="1"/>
      <c r="S247" s="24"/>
      <c r="T247" s="1"/>
      <c r="U247" s="1"/>
      <c r="V247" s="24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24"/>
      <c r="G248" s="1"/>
      <c r="H248" s="1"/>
      <c r="I248" s="1"/>
      <c r="J248" s="25"/>
      <c r="K248" s="1"/>
      <c r="L248" s="1"/>
      <c r="M248" s="1"/>
      <c r="N248" s="25"/>
      <c r="O248" s="25"/>
      <c r="P248" s="24"/>
      <c r="Q248" s="1"/>
      <c r="R248" s="1"/>
      <c r="S248" s="24"/>
      <c r="T248" s="1"/>
      <c r="U248" s="1"/>
      <c r="V248" s="24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24"/>
      <c r="G249" s="1"/>
      <c r="H249" s="1"/>
      <c r="I249" s="1"/>
      <c r="J249" s="25"/>
      <c r="K249" s="1"/>
      <c r="L249" s="1"/>
      <c r="M249" s="1"/>
      <c r="N249" s="25"/>
      <c r="O249" s="25"/>
      <c r="P249" s="24"/>
      <c r="Q249" s="1"/>
      <c r="R249" s="1"/>
      <c r="S249" s="24"/>
      <c r="T249" s="1"/>
      <c r="U249" s="1"/>
      <c r="V249" s="24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24"/>
      <c r="G250" s="1"/>
      <c r="H250" s="1"/>
      <c r="I250" s="1"/>
      <c r="J250" s="25"/>
      <c r="K250" s="1"/>
      <c r="L250" s="1"/>
      <c r="M250" s="1"/>
      <c r="N250" s="25"/>
      <c r="O250" s="25"/>
      <c r="P250" s="24"/>
      <c r="Q250" s="1"/>
      <c r="R250" s="1"/>
      <c r="S250" s="24"/>
      <c r="T250" s="1"/>
      <c r="U250" s="1"/>
      <c r="V250" s="24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24"/>
      <c r="G251" s="1"/>
      <c r="H251" s="1"/>
      <c r="I251" s="1"/>
      <c r="J251" s="25"/>
      <c r="K251" s="1"/>
      <c r="L251" s="1"/>
      <c r="M251" s="1"/>
      <c r="N251" s="25"/>
      <c r="O251" s="25"/>
      <c r="P251" s="24"/>
      <c r="Q251" s="1"/>
      <c r="R251" s="1"/>
      <c r="S251" s="24"/>
      <c r="T251" s="1"/>
      <c r="U251" s="1"/>
      <c r="V251" s="24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24"/>
      <c r="G252" s="1"/>
      <c r="H252" s="1"/>
      <c r="I252" s="1"/>
      <c r="J252" s="25"/>
      <c r="K252" s="1"/>
      <c r="L252" s="1"/>
      <c r="M252" s="1"/>
      <c r="N252" s="25"/>
      <c r="O252" s="25"/>
      <c r="P252" s="24"/>
      <c r="Q252" s="1"/>
      <c r="R252" s="1"/>
      <c r="S252" s="24"/>
      <c r="T252" s="1"/>
      <c r="U252" s="1"/>
      <c r="V252" s="24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24"/>
      <c r="G253" s="1"/>
      <c r="H253" s="1"/>
      <c r="I253" s="1"/>
      <c r="J253" s="25"/>
      <c r="K253" s="1"/>
      <c r="L253" s="1"/>
      <c r="M253" s="1"/>
      <c r="N253" s="25"/>
      <c r="O253" s="25"/>
      <c r="P253" s="24"/>
      <c r="Q253" s="1"/>
      <c r="R253" s="1"/>
      <c r="S253" s="24"/>
      <c r="T253" s="1"/>
      <c r="U253" s="1"/>
      <c r="V253" s="24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24"/>
      <c r="G254" s="1"/>
      <c r="H254" s="1"/>
      <c r="I254" s="1"/>
      <c r="J254" s="25"/>
      <c r="K254" s="1"/>
      <c r="L254" s="1"/>
      <c r="M254" s="1"/>
      <c r="N254" s="25"/>
      <c r="O254" s="25"/>
      <c r="P254" s="24"/>
      <c r="Q254" s="1"/>
      <c r="R254" s="1"/>
      <c r="S254" s="24"/>
      <c r="T254" s="1"/>
      <c r="U254" s="1"/>
      <c r="V254" s="24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24"/>
      <c r="G255" s="1"/>
      <c r="H255" s="1"/>
      <c r="I255" s="1"/>
      <c r="J255" s="25"/>
      <c r="K255" s="1"/>
      <c r="L255" s="1"/>
      <c r="M255" s="1"/>
      <c r="N255" s="25"/>
      <c r="O255" s="25"/>
      <c r="P255" s="24"/>
      <c r="Q255" s="1"/>
      <c r="R255" s="1"/>
      <c r="S255" s="24"/>
      <c r="T255" s="1"/>
      <c r="U255" s="1"/>
      <c r="V255" s="24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24"/>
      <c r="G256" s="1"/>
      <c r="H256" s="1"/>
      <c r="I256" s="1"/>
      <c r="J256" s="25"/>
      <c r="K256" s="1"/>
      <c r="L256" s="1"/>
      <c r="M256" s="1"/>
      <c r="N256" s="25"/>
      <c r="O256" s="25"/>
      <c r="P256" s="24"/>
      <c r="Q256" s="1"/>
      <c r="R256" s="1"/>
      <c r="S256" s="24"/>
      <c r="T256" s="1"/>
      <c r="U256" s="1"/>
      <c r="V256" s="24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24"/>
      <c r="G257" s="1"/>
      <c r="H257" s="1"/>
      <c r="I257" s="1"/>
      <c r="J257" s="25"/>
      <c r="K257" s="1"/>
      <c r="L257" s="1"/>
      <c r="M257" s="1"/>
      <c r="N257" s="25"/>
      <c r="O257" s="25"/>
      <c r="P257" s="24"/>
      <c r="Q257" s="1"/>
      <c r="R257" s="1"/>
      <c r="S257" s="24"/>
      <c r="T257" s="1"/>
      <c r="U257" s="1"/>
      <c r="V257" s="24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24"/>
      <c r="G258" s="1"/>
      <c r="H258" s="1"/>
      <c r="I258" s="1"/>
      <c r="J258" s="25"/>
      <c r="K258" s="1"/>
      <c r="L258" s="1"/>
      <c r="M258" s="1"/>
      <c r="N258" s="25"/>
      <c r="O258" s="25"/>
      <c r="P258" s="24"/>
      <c r="Q258" s="1"/>
      <c r="R258" s="1"/>
      <c r="S258" s="24"/>
      <c r="T258" s="1"/>
      <c r="U258" s="1"/>
      <c r="V258" s="24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24"/>
      <c r="G259" s="1"/>
      <c r="H259" s="1"/>
      <c r="I259" s="1"/>
      <c r="J259" s="25"/>
      <c r="K259" s="1"/>
      <c r="L259" s="1"/>
      <c r="M259" s="1"/>
      <c r="N259" s="25"/>
      <c r="O259" s="25"/>
      <c r="P259" s="24"/>
      <c r="Q259" s="1"/>
      <c r="R259" s="1"/>
      <c r="S259" s="24"/>
      <c r="T259" s="1"/>
      <c r="U259" s="1"/>
      <c r="V259" s="24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24"/>
      <c r="G260" s="1"/>
      <c r="H260" s="1"/>
      <c r="I260" s="1"/>
      <c r="J260" s="25"/>
      <c r="K260" s="1"/>
      <c r="L260" s="1"/>
      <c r="M260" s="1"/>
      <c r="N260" s="25"/>
      <c r="O260" s="25"/>
      <c r="P260" s="24"/>
      <c r="Q260" s="1"/>
      <c r="R260" s="1"/>
      <c r="S260" s="24"/>
      <c r="T260" s="1"/>
      <c r="U260" s="1"/>
      <c r="V260" s="24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24"/>
      <c r="G261" s="1"/>
      <c r="H261" s="1"/>
      <c r="I261" s="1"/>
      <c r="J261" s="25"/>
      <c r="K261" s="1"/>
      <c r="L261" s="1"/>
      <c r="M261" s="1"/>
      <c r="N261" s="25"/>
      <c r="O261" s="25"/>
      <c r="P261" s="24"/>
      <c r="Q261" s="1"/>
      <c r="R261" s="1"/>
      <c r="S261" s="24"/>
      <c r="T261" s="1"/>
      <c r="U261" s="1"/>
      <c r="V261" s="24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24"/>
      <c r="G262" s="1"/>
      <c r="H262" s="1"/>
      <c r="I262" s="1"/>
      <c r="J262" s="25"/>
      <c r="K262" s="1"/>
      <c r="L262" s="1"/>
      <c r="M262" s="1"/>
      <c r="N262" s="25"/>
      <c r="O262" s="25"/>
      <c r="P262" s="24"/>
      <c r="Q262" s="1"/>
      <c r="R262" s="1"/>
      <c r="S262" s="24"/>
      <c r="T262" s="1"/>
      <c r="U262" s="1"/>
      <c r="V262" s="24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24"/>
      <c r="G263" s="1"/>
      <c r="H263" s="1"/>
      <c r="I263" s="1"/>
      <c r="J263" s="25"/>
      <c r="K263" s="1"/>
      <c r="L263" s="1"/>
      <c r="M263" s="1"/>
      <c r="N263" s="25"/>
      <c r="O263" s="25"/>
      <c r="P263" s="24"/>
      <c r="Q263" s="1"/>
      <c r="R263" s="1"/>
      <c r="S263" s="24"/>
      <c r="T263" s="1"/>
      <c r="U263" s="1"/>
      <c r="V263" s="24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24"/>
      <c r="G264" s="1"/>
      <c r="H264" s="1"/>
      <c r="I264" s="1"/>
      <c r="J264" s="25"/>
      <c r="K264" s="1"/>
      <c r="L264" s="1"/>
      <c r="M264" s="1"/>
      <c r="N264" s="25"/>
      <c r="O264" s="25"/>
      <c r="P264" s="24"/>
      <c r="Q264" s="1"/>
      <c r="R264" s="1"/>
      <c r="S264" s="24"/>
      <c r="T264" s="1"/>
      <c r="U264" s="1"/>
      <c r="V264" s="24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24"/>
      <c r="G265" s="1"/>
      <c r="H265" s="1"/>
      <c r="I265" s="1"/>
      <c r="J265" s="25"/>
      <c r="K265" s="1"/>
      <c r="L265" s="1"/>
      <c r="M265" s="1"/>
      <c r="N265" s="25"/>
      <c r="O265" s="25"/>
      <c r="P265" s="24"/>
      <c r="Q265" s="1"/>
      <c r="R265" s="1"/>
      <c r="S265" s="24"/>
      <c r="T265" s="1"/>
      <c r="U265" s="1"/>
      <c r="V265" s="24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24"/>
      <c r="G266" s="1"/>
      <c r="H266" s="1"/>
      <c r="I266" s="1"/>
      <c r="J266" s="25"/>
      <c r="K266" s="1"/>
      <c r="L266" s="1"/>
      <c r="M266" s="1"/>
      <c r="N266" s="25"/>
      <c r="O266" s="25"/>
      <c r="P266" s="24"/>
      <c r="Q266" s="1"/>
      <c r="R266" s="1"/>
      <c r="S266" s="24"/>
      <c r="T266" s="1"/>
      <c r="U266" s="1"/>
      <c r="V266" s="24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24"/>
      <c r="G267" s="1"/>
      <c r="H267" s="1"/>
      <c r="I267" s="1"/>
      <c r="J267" s="25"/>
      <c r="K267" s="1"/>
      <c r="L267" s="1"/>
      <c r="M267" s="1"/>
      <c r="N267" s="25"/>
      <c r="O267" s="25"/>
      <c r="P267" s="24"/>
      <c r="Q267" s="1"/>
      <c r="R267" s="1"/>
      <c r="S267" s="24"/>
      <c r="T267" s="1"/>
      <c r="U267" s="1"/>
      <c r="V267" s="24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24"/>
      <c r="G268" s="1"/>
      <c r="H268" s="1"/>
      <c r="I268" s="1"/>
      <c r="J268" s="25"/>
      <c r="K268" s="1"/>
      <c r="L268" s="1"/>
      <c r="M268" s="1"/>
      <c r="N268" s="25"/>
      <c r="O268" s="25"/>
      <c r="P268" s="24"/>
      <c r="Q268" s="1"/>
      <c r="R268" s="1"/>
      <c r="S268" s="24"/>
      <c r="T268" s="1"/>
      <c r="U268" s="1"/>
      <c r="V268" s="24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24"/>
      <c r="G269" s="1"/>
      <c r="H269" s="1"/>
      <c r="I269" s="1"/>
      <c r="J269" s="25"/>
      <c r="K269" s="1"/>
      <c r="L269" s="1"/>
      <c r="M269" s="1"/>
      <c r="N269" s="25"/>
      <c r="O269" s="25"/>
      <c r="P269" s="24"/>
      <c r="Q269" s="1"/>
      <c r="R269" s="1"/>
      <c r="S269" s="24"/>
      <c r="T269" s="1"/>
      <c r="U269" s="1"/>
      <c r="V269" s="24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24"/>
      <c r="G270" s="1"/>
      <c r="H270" s="1"/>
      <c r="I270" s="1"/>
      <c r="J270" s="25"/>
      <c r="K270" s="1"/>
      <c r="L270" s="1"/>
      <c r="M270" s="1"/>
      <c r="N270" s="25"/>
      <c r="O270" s="25"/>
      <c r="P270" s="24"/>
      <c r="Q270" s="1"/>
      <c r="R270" s="1"/>
      <c r="S270" s="24"/>
      <c r="T270" s="1"/>
      <c r="U270" s="1"/>
      <c r="V270" s="24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24"/>
      <c r="G271" s="1"/>
      <c r="H271" s="1"/>
      <c r="I271" s="1"/>
      <c r="J271" s="25"/>
      <c r="K271" s="1"/>
      <c r="L271" s="1"/>
      <c r="M271" s="1"/>
      <c r="N271" s="25"/>
      <c r="O271" s="25"/>
      <c r="P271" s="24"/>
      <c r="Q271" s="1"/>
      <c r="R271" s="1"/>
      <c r="S271" s="24"/>
      <c r="T271" s="1"/>
      <c r="U271" s="1"/>
      <c r="V271" s="24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24"/>
      <c r="G272" s="1"/>
      <c r="H272" s="1"/>
      <c r="I272" s="1"/>
      <c r="J272" s="25"/>
      <c r="K272" s="1"/>
      <c r="L272" s="1"/>
      <c r="M272" s="1"/>
      <c r="N272" s="25"/>
      <c r="O272" s="25"/>
      <c r="P272" s="24"/>
      <c r="Q272" s="1"/>
      <c r="R272" s="1"/>
      <c r="S272" s="24"/>
      <c r="T272" s="1"/>
      <c r="U272" s="1"/>
      <c r="V272" s="24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24"/>
      <c r="G273" s="1"/>
      <c r="H273" s="1"/>
      <c r="I273" s="1"/>
      <c r="J273" s="25"/>
      <c r="K273" s="1"/>
      <c r="L273" s="1"/>
      <c r="M273" s="1"/>
      <c r="N273" s="25"/>
      <c r="O273" s="25"/>
      <c r="P273" s="24"/>
      <c r="Q273" s="1"/>
      <c r="R273" s="1"/>
      <c r="S273" s="24"/>
      <c r="T273" s="1"/>
      <c r="U273" s="1"/>
      <c r="V273" s="24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24"/>
      <c r="G274" s="1"/>
      <c r="H274" s="1"/>
      <c r="I274" s="1"/>
      <c r="J274" s="25"/>
      <c r="K274" s="1"/>
      <c r="L274" s="1"/>
      <c r="M274" s="1"/>
      <c r="N274" s="25"/>
      <c r="O274" s="25"/>
      <c r="P274" s="24"/>
      <c r="Q274" s="1"/>
      <c r="R274" s="1"/>
      <c r="S274" s="24"/>
      <c r="T274" s="1"/>
      <c r="U274" s="1"/>
      <c r="V274" s="24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24"/>
      <c r="G275" s="1"/>
      <c r="H275" s="1"/>
      <c r="I275" s="1"/>
      <c r="J275" s="25"/>
      <c r="K275" s="1"/>
      <c r="L275" s="1"/>
      <c r="M275" s="1"/>
      <c r="N275" s="25"/>
      <c r="O275" s="25"/>
      <c r="P275" s="24"/>
      <c r="Q275" s="1"/>
      <c r="R275" s="1"/>
      <c r="S275" s="24"/>
      <c r="T275" s="1"/>
      <c r="U275" s="1"/>
      <c r="V275" s="24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24"/>
      <c r="G276" s="1"/>
      <c r="H276" s="1"/>
      <c r="I276" s="1"/>
      <c r="J276" s="25"/>
      <c r="K276" s="1"/>
      <c r="L276" s="1"/>
      <c r="M276" s="1"/>
      <c r="N276" s="25"/>
      <c r="O276" s="25"/>
      <c r="P276" s="24"/>
      <c r="Q276" s="1"/>
      <c r="R276" s="1"/>
      <c r="S276" s="24"/>
      <c r="T276" s="1"/>
      <c r="U276" s="1"/>
      <c r="V276" s="24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24"/>
      <c r="G277" s="1"/>
      <c r="H277" s="1"/>
      <c r="I277" s="1"/>
      <c r="J277" s="25"/>
      <c r="K277" s="1"/>
      <c r="L277" s="1"/>
      <c r="M277" s="1"/>
      <c r="N277" s="25"/>
      <c r="O277" s="25"/>
      <c r="P277" s="24"/>
      <c r="Q277" s="1"/>
      <c r="R277" s="1"/>
      <c r="S277" s="24"/>
      <c r="T277" s="1"/>
      <c r="U277" s="1"/>
      <c r="V277" s="24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24"/>
      <c r="G278" s="1"/>
      <c r="H278" s="1"/>
      <c r="I278" s="1"/>
      <c r="J278" s="25"/>
      <c r="K278" s="1"/>
      <c r="L278" s="1"/>
      <c r="M278" s="1"/>
      <c r="N278" s="25"/>
      <c r="O278" s="25"/>
      <c r="P278" s="24"/>
      <c r="Q278" s="1"/>
      <c r="R278" s="1"/>
      <c r="S278" s="24"/>
      <c r="T278" s="1"/>
      <c r="U278" s="1"/>
      <c r="V278" s="24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24"/>
      <c r="G279" s="1"/>
      <c r="H279" s="1"/>
      <c r="I279" s="1"/>
      <c r="J279" s="25"/>
      <c r="K279" s="1"/>
      <c r="L279" s="1"/>
      <c r="M279" s="1"/>
      <c r="N279" s="25"/>
      <c r="O279" s="25"/>
      <c r="P279" s="24"/>
      <c r="Q279" s="1"/>
      <c r="R279" s="1"/>
      <c r="S279" s="24"/>
      <c r="T279" s="1"/>
      <c r="U279" s="1"/>
      <c r="V279" s="24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24"/>
      <c r="G280" s="1"/>
      <c r="H280" s="1"/>
      <c r="I280" s="1"/>
      <c r="J280" s="25"/>
      <c r="K280" s="1"/>
      <c r="L280" s="1"/>
      <c r="M280" s="1"/>
      <c r="N280" s="25"/>
      <c r="O280" s="25"/>
      <c r="P280" s="24"/>
      <c r="Q280" s="1"/>
      <c r="R280" s="1"/>
      <c r="S280" s="24"/>
      <c r="T280" s="1"/>
      <c r="U280" s="1"/>
      <c r="V280" s="24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24"/>
      <c r="G281" s="1"/>
      <c r="H281" s="1"/>
      <c r="I281" s="1"/>
      <c r="J281" s="25"/>
      <c r="K281" s="1"/>
      <c r="L281" s="1"/>
      <c r="M281" s="1"/>
      <c r="N281" s="25"/>
      <c r="O281" s="25"/>
      <c r="P281" s="24"/>
      <c r="Q281" s="1"/>
      <c r="R281" s="1"/>
      <c r="S281" s="24"/>
      <c r="T281" s="1"/>
      <c r="U281" s="1"/>
      <c r="V281" s="24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24"/>
      <c r="G282" s="1"/>
      <c r="H282" s="1"/>
      <c r="I282" s="1"/>
      <c r="J282" s="25"/>
      <c r="K282" s="1"/>
      <c r="L282" s="1"/>
      <c r="M282" s="1"/>
      <c r="N282" s="25"/>
      <c r="O282" s="25"/>
      <c r="P282" s="24"/>
      <c r="Q282" s="1"/>
      <c r="R282" s="1"/>
      <c r="S282" s="24"/>
      <c r="T282" s="1"/>
      <c r="U282" s="1"/>
      <c r="V282" s="24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24"/>
      <c r="G283" s="1"/>
      <c r="H283" s="1"/>
      <c r="I283" s="1"/>
      <c r="J283" s="25"/>
      <c r="K283" s="1"/>
      <c r="L283" s="1"/>
      <c r="M283" s="1"/>
      <c r="N283" s="25"/>
      <c r="O283" s="25"/>
      <c r="P283" s="24"/>
      <c r="Q283" s="1"/>
      <c r="R283" s="1"/>
      <c r="S283" s="24"/>
      <c r="T283" s="1"/>
      <c r="U283" s="1"/>
      <c r="V283" s="24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24"/>
      <c r="G284" s="1"/>
      <c r="H284" s="1"/>
      <c r="I284" s="1"/>
      <c r="J284" s="25"/>
      <c r="K284" s="1"/>
      <c r="L284" s="1"/>
      <c r="M284" s="1"/>
      <c r="N284" s="25"/>
      <c r="O284" s="25"/>
      <c r="P284" s="24"/>
      <c r="Q284" s="1"/>
      <c r="R284" s="1"/>
      <c r="S284" s="24"/>
      <c r="T284" s="1"/>
      <c r="U284" s="1"/>
      <c r="V284" s="24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24"/>
      <c r="G285" s="1"/>
      <c r="H285" s="1"/>
      <c r="I285" s="1"/>
      <c r="J285" s="25"/>
      <c r="K285" s="1"/>
      <c r="L285" s="1"/>
      <c r="M285" s="1"/>
      <c r="N285" s="25"/>
      <c r="O285" s="25"/>
      <c r="P285" s="24"/>
      <c r="Q285" s="1"/>
      <c r="R285" s="1"/>
      <c r="S285" s="24"/>
      <c r="T285" s="1"/>
      <c r="U285" s="1"/>
      <c r="V285" s="24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24"/>
      <c r="G286" s="1"/>
      <c r="H286" s="1"/>
      <c r="I286" s="1"/>
      <c r="J286" s="25"/>
      <c r="K286" s="1"/>
      <c r="L286" s="1"/>
      <c r="M286" s="1"/>
      <c r="N286" s="25"/>
      <c r="O286" s="25"/>
      <c r="P286" s="24"/>
      <c r="Q286" s="1"/>
      <c r="R286" s="1"/>
      <c r="S286" s="24"/>
      <c r="T286" s="1"/>
      <c r="U286" s="1"/>
      <c r="V286" s="24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24"/>
      <c r="G287" s="1"/>
      <c r="H287" s="1"/>
      <c r="I287" s="1"/>
      <c r="J287" s="25"/>
      <c r="K287" s="1"/>
      <c r="L287" s="1"/>
      <c r="M287" s="1"/>
      <c r="N287" s="25"/>
      <c r="O287" s="25"/>
      <c r="P287" s="24"/>
      <c r="Q287" s="1"/>
      <c r="R287" s="1"/>
      <c r="S287" s="24"/>
      <c r="T287" s="1"/>
      <c r="U287" s="1"/>
      <c r="V287" s="24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24"/>
      <c r="G288" s="1"/>
      <c r="H288" s="1"/>
      <c r="I288" s="1"/>
      <c r="J288" s="25"/>
      <c r="K288" s="1"/>
      <c r="L288" s="1"/>
      <c r="M288" s="1"/>
      <c r="N288" s="25"/>
      <c r="O288" s="25"/>
      <c r="P288" s="24"/>
      <c r="Q288" s="1"/>
      <c r="R288" s="1"/>
      <c r="S288" s="24"/>
      <c r="T288" s="1"/>
      <c r="U288" s="1"/>
      <c r="V288" s="24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24"/>
      <c r="G289" s="1"/>
      <c r="H289" s="1"/>
      <c r="I289" s="1"/>
      <c r="J289" s="25"/>
      <c r="K289" s="1"/>
      <c r="L289" s="1"/>
      <c r="M289" s="1"/>
      <c r="N289" s="25"/>
      <c r="O289" s="25"/>
      <c r="P289" s="24"/>
      <c r="Q289" s="1"/>
      <c r="R289" s="1"/>
      <c r="S289" s="24"/>
      <c r="T289" s="1"/>
      <c r="U289" s="1"/>
      <c r="V289" s="24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24"/>
      <c r="G290" s="1"/>
      <c r="H290" s="1"/>
      <c r="I290" s="1"/>
      <c r="J290" s="25"/>
      <c r="K290" s="1"/>
      <c r="L290" s="1"/>
      <c r="M290" s="1"/>
      <c r="N290" s="25"/>
      <c r="O290" s="25"/>
      <c r="P290" s="24"/>
      <c r="Q290" s="1"/>
      <c r="R290" s="1"/>
      <c r="S290" s="24"/>
      <c r="T290" s="1"/>
      <c r="U290" s="1"/>
      <c r="V290" s="24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24"/>
      <c r="G291" s="1"/>
      <c r="H291" s="1"/>
      <c r="I291" s="1"/>
      <c r="J291" s="25"/>
      <c r="K291" s="1"/>
      <c r="L291" s="1"/>
      <c r="M291" s="1"/>
      <c r="N291" s="25"/>
      <c r="O291" s="25"/>
      <c r="P291" s="24"/>
      <c r="Q291" s="1"/>
      <c r="R291" s="1"/>
      <c r="S291" s="24"/>
      <c r="T291" s="1"/>
      <c r="U291" s="1"/>
      <c r="V291" s="24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24"/>
      <c r="G292" s="1"/>
      <c r="H292" s="1"/>
      <c r="I292" s="1"/>
      <c r="J292" s="25"/>
      <c r="K292" s="1"/>
      <c r="L292" s="1"/>
      <c r="M292" s="1"/>
      <c r="N292" s="25"/>
      <c r="O292" s="25"/>
      <c r="P292" s="24"/>
      <c r="Q292" s="1"/>
      <c r="R292" s="1"/>
      <c r="S292" s="24"/>
      <c r="T292" s="1"/>
      <c r="U292" s="1"/>
      <c r="V292" s="24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24"/>
      <c r="G293" s="1"/>
      <c r="H293" s="1"/>
      <c r="I293" s="1"/>
      <c r="J293" s="25"/>
      <c r="K293" s="1"/>
      <c r="L293" s="1"/>
      <c r="M293" s="1"/>
      <c r="N293" s="25"/>
      <c r="O293" s="25"/>
      <c r="P293" s="24"/>
      <c r="Q293" s="1"/>
      <c r="R293" s="1"/>
      <c r="S293" s="24"/>
      <c r="T293" s="1"/>
      <c r="U293" s="1"/>
      <c r="V293" s="24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24"/>
      <c r="G294" s="1"/>
      <c r="H294" s="1"/>
      <c r="I294" s="1"/>
      <c r="J294" s="25"/>
      <c r="K294" s="1"/>
      <c r="L294" s="1"/>
      <c r="M294" s="1"/>
      <c r="N294" s="25"/>
      <c r="O294" s="25"/>
      <c r="P294" s="24"/>
      <c r="Q294" s="1"/>
      <c r="R294" s="1"/>
      <c r="S294" s="24"/>
      <c r="T294" s="1"/>
      <c r="U294" s="1"/>
      <c r="V294" s="24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24"/>
      <c r="G295" s="1"/>
      <c r="H295" s="1"/>
      <c r="I295" s="1"/>
      <c r="J295" s="25"/>
      <c r="K295" s="1"/>
      <c r="L295" s="1"/>
      <c r="M295" s="1"/>
      <c r="N295" s="25"/>
      <c r="O295" s="25"/>
      <c r="P295" s="24"/>
      <c r="Q295" s="1"/>
      <c r="R295" s="1"/>
      <c r="S295" s="24"/>
      <c r="T295" s="1"/>
      <c r="U295" s="1"/>
      <c r="V295" s="24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24"/>
      <c r="G296" s="1"/>
      <c r="H296" s="1"/>
      <c r="I296" s="1"/>
      <c r="J296" s="25"/>
      <c r="K296" s="1"/>
      <c r="L296" s="1"/>
      <c r="M296" s="1"/>
      <c r="N296" s="25"/>
      <c r="O296" s="25"/>
      <c r="P296" s="24"/>
      <c r="Q296" s="1"/>
      <c r="R296" s="1"/>
      <c r="S296" s="24"/>
      <c r="T296" s="1"/>
      <c r="U296" s="1"/>
      <c r="V296" s="24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24"/>
      <c r="G297" s="1"/>
      <c r="H297" s="1"/>
      <c r="I297" s="1"/>
      <c r="J297" s="25"/>
      <c r="K297" s="1"/>
      <c r="L297" s="1"/>
      <c r="M297" s="1"/>
      <c r="N297" s="25"/>
      <c r="O297" s="25"/>
      <c r="P297" s="24"/>
      <c r="Q297" s="1"/>
      <c r="R297" s="1"/>
      <c r="S297" s="24"/>
      <c r="T297" s="1"/>
      <c r="U297" s="1"/>
      <c r="V297" s="24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24"/>
      <c r="G298" s="1"/>
      <c r="H298" s="1"/>
      <c r="I298" s="1"/>
      <c r="J298" s="25"/>
      <c r="K298" s="1"/>
      <c r="L298" s="1"/>
      <c r="M298" s="1"/>
      <c r="N298" s="25"/>
      <c r="O298" s="25"/>
      <c r="P298" s="24"/>
      <c r="Q298" s="1"/>
      <c r="R298" s="1"/>
      <c r="S298" s="24"/>
      <c r="T298" s="1"/>
      <c r="U298" s="1"/>
      <c r="V298" s="24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24"/>
      <c r="G299" s="1"/>
      <c r="H299" s="1"/>
      <c r="I299" s="1"/>
      <c r="J299" s="25"/>
      <c r="K299" s="1"/>
      <c r="L299" s="1"/>
      <c r="M299" s="1"/>
      <c r="N299" s="25"/>
      <c r="O299" s="25"/>
      <c r="P299" s="24"/>
      <c r="Q299" s="1"/>
      <c r="R299" s="1"/>
      <c r="S299" s="24"/>
      <c r="T299" s="1"/>
      <c r="U299" s="1"/>
      <c r="V299" s="24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24"/>
      <c r="G300" s="1"/>
      <c r="H300" s="1"/>
      <c r="I300" s="1"/>
      <c r="J300" s="25"/>
      <c r="K300" s="1"/>
      <c r="L300" s="1"/>
      <c r="M300" s="1"/>
      <c r="N300" s="25"/>
      <c r="O300" s="25"/>
      <c r="P300" s="24"/>
      <c r="Q300" s="1"/>
      <c r="R300" s="1"/>
      <c r="S300" s="24"/>
      <c r="T300" s="1"/>
      <c r="U300" s="1"/>
      <c r="V300" s="24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24"/>
      <c r="G301" s="1"/>
      <c r="H301" s="1"/>
      <c r="I301" s="1"/>
      <c r="J301" s="25"/>
      <c r="K301" s="1"/>
      <c r="L301" s="1"/>
      <c r="M301" s="1"/>
      <c r="N301" s="25"/>
      <c r="O301" s="25"/>
      <c r="P301" s="24"/>
      <c r="Q301" s="1"/>
      <c r="R301" s="1"/>
      <c r="S301" s="24"/>
      <c r="T301" s="1"/>
      <c r="U301" s="1"/>
      <c r="V301" s="24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24"/>
      <c r="G302" s="1"/>
      <c r="H302" s="1"/>
      <c r="I302" s="1"/>
      <c r="J302" s="25"/>
      <c r="K302" s="1"/>
      <c r="L302" s="1"/>
      <c r="M302" s="1"/>
      <c r="N302" s="25"/>
      <c r="O302" s="25"/>
      <c r="P302" s="24"/>
      <c r="Q302" s="1"/>
      <c r="R302" s="1"/>
      <c r="S302" s="24"/>
      <c r="T302" s="1"/>
      <c r="U302" s="1"/>
      <c r="V302" s="24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24"/>
      <c r="G303" s="1"/>
      <c r="H303" s="1"/>
      <c r="I303" s="1"/>
      <c r="J303" s="25"/>
      <c r="K303" s="1"/>
      <c r="L303" s="1"/>
      <c r="M303" s="1"/>
      <c r="N303" s="25"/>
      <c r="O303" s="25"/>
      <c r="P303" s="24"/>
      <c r="Q303" s="1"/>
      <c r="R303" s="1"/>
      <c r="S303" s="24"/>
      <c r="T303" s="1"/>
      <c r="U303" s="1"/>
      <c r="V303" s="24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24"/>
      <c r="G304" s="1"/>
      <c r="H304" s="1"/>
      <c r="I304" s="1"/>
      <c r="J304" s="25"/>
      <c r="K304" s="1"/>
      <c r="L304" s="1"/>
      <c r="M304" s="1"/>
      <c r="N304" s="25"/>
      <c r="O304" s="25"/>
      <c r="P304" s="24"/>
      <c r="Q304" s="1"/>
      <c r="R304" s="1"/>
      <c r="S304" s="24"/>
      <c r="T304" s="1"/>
      <c r="U304" s="1"/>
      <c r="V304" s="24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24"/>
      <c r="G305" s="1"/>
      <c r="H305" s="1"/>
      <c r="I305" s="1"/>
      <c r="J305" s="25"/>
      <c r="K305" s="1"/>
      <c r="L305" s="1"/>
      <c r="M305" s="1"/>
      <c r="N305" s="25"/>
      <c r="O305" s="25"/>
      <c r="P305" s="24"/>
      <c r="Q305" s="1"/>
      <c r="R305" s="1"/>
      <c r="S305" s="24"/>
      <c r="T305" s="1"/>
      <c r="U305" s="1"/>
      <c r="V305" s="24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24"/>
      <c r="G306" s="1"/>
      <c r="H306" s="1"/>
      <c r="I306" s="1"/>
      <c r="J306" s="25"/>
      <c r="K306" s="1"/>
      <c r="L306" s="1"/>
      <c r="M306" s="1"/>
      <c r="N306" s="25"/>
      <c r="O306" s="25"/>
      <c r="P306" s="24"/>
      <c r="Q306" s="1"/>
      <c r="R306" s="1"/>
      <c r="S306" s="24"/>
      <c r="T306" s="1"/>
      <c r="U306" s="1"/>
      <c r="V306" s="24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24"/>
      <c r="G307" s="1"/>
      <c r="H307" s="1"/>
      <c r="I307" s="1"/>
      <c r="J307" s="25"/>
      <c r="K307" s="1"/>
      <c r="L307" s="1"/>
      <c r="M307" s="1"/>
      <c r="N307" s="25"/>
      <c r="O307" s="25"/>
      <c r="P307" s="24"/>
      <c r="Q307" s="1"/>
      <c r="R307" s="1"/>
      <c r="S307" s="24"/>
      <c r="T307" s="1"/>
      <c r="U307" s="1"/>
      <c r="V307" s="24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24"/>
      <c r="G308" s="1"/>
      <c r="H308" s="1"/>
      <c r="I308" s="1"/>
      <c r="J308" s="25"/>
      <c r="K308" s="1"/>
      <c r="L308" s="1"/>
      <c r="M308" s="1"/>
      <c r="N308" s="25"/>
      <c r="O308" s="25"/>
      <c r="P308" s="24"/>
      <c r="Q308" s="1"/>
      <c r="R308" s="1"/>
      <c r="S308" s="24"/>
      <c r="T308" s="1"/>
      <c r="U308" s="1"/>
      <c r="V308" s="24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24"/>
      <c r="G309" s="1"/>
      <c r="H309" s="1"/>
      <c r="I309" s="1"/>
      <c r="J309" s="25"/>
      <c r="K309" s="1"/>
      <c r="L309" s="1"/>
      <c r="M309" s="1"/>
      <c r="N309" s="25"/>
      <c r="O309" s="25"/>
      <c r="P309" s="24"/>
      <c r="Q309" s="1"/>
      <c r="R309" s="1"/>
      <c r="S309" s="24"/>
      <c r="T309" s="1"/>
      <c r="U309" s="1"/>
      <c r="V309" s="24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24"/>
      <c r="G310" s="1"/>
      <c r="H310" s="1"/>
      <c r="I310" s="1"/>
      <c r="J310" s="25"/>
      <c r="K310" s="1"/>
      <c r="L310" s="1"/>
      <c r="M310" s="1"/>
      <c r="N310" s="25"/>
      <c r="O310" s="25"/>
      <c r="P310" s="24"/>
      <c r="Q310" s="1"/>
      <c r="R310" s="1"/>
      <c r="S310" s="24"/>
      <c r="T310" s="1"/>
      <c r="U310" s="1"/>
      <c r="V310" s="24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24"/>
      <c r="G311" s="1"/>
      <c r="H311" s="1"/>
      <c r="I311" s="1"/>
      <c r="J311" s="25"/>
      <c r="K311" s="1"/>
      <c r="L311" s="1"/>
      <c r="M311" s="1"/>
      <c r="N311" s="25"/>
      <c r="O311" s="25"/>
      <c r="P311" s="24"/>
      <c r="Q311" s="1"/>
      <c r="R311" s="1"/>
      <c r="S311" s="24"/>
      <c r="T311" s="1"/>
      <c r="U311" s="1"/>
      <c r="V311" s="24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24"/>
      <c r="G312" s="1"/>
      <c r="H312" s="1"/>
      <c r="I312" s="1"/>
      <c r="J312" s="25"/>
      <c r="K312" s="1"/>
      <c r="L312" s="1"/>
      <c r="M312" s="1"/>
      <c r="N312" s="25"/>
      <c r="O312" s="25"/>
      <c r="P312" s="24"/>
      <c r="Q312" s="1"/>
      <c r="R312" s="1"/>
      <c r="S312" s="24"/>
      <c r="T312" s="1"/>
      <c r="U312" s="1"/>
      <c r="V312" s="24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24"/>
      <c r="G313" s="1"/>
      <c r="H313" s="1"/>
      <c r="I313" s="1"/>
      <c r="J313" s="25"/>
      <c r="K313" s="1"/>
      <c r="L313" s="1"/>
      <c r="M313" s="1"/>
      <c r="N313" s="25"/>
      <c r="O313" s="25"/>
      <c r="P313" s="24"/>
      <c r="Q313" s="1"/>
      <c r="R313" s="1"/>
      <c r="S313" s="24"/>
      <c r="T313" s="1"/>
      <c r="U313" s="1"/>
      <c r="V313" s="24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24"/>
      <c r="G314" s="1"/>
      <c r="H314" s="1"/>
      <c r="I314" s="1"/>
      <c r="J314" s="25"/>
      <c r="K314" s="1"/>
      <c r="L314" s="1"/>
      <c r="M314" s="1"/>
      <c r="N314" s="25"/>
      <c r="O314" s="25"/>
      <c r="P314" s="24"/>
      <c r="Q314" s="1"/>
      <c r="R314" s="1"/>
      <c r="S314" s="24"/>
      <c r="T314" s="1"/>
      <c r="U314" s="1"/>
      <c r="V314" s="24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24"/>
      <c r="G315" s="1"/>
      <c r="H315" s="1"/>
      <c r="I315" s="1"/>
      <c r="J315" s="25"/>
      <c r="K315" s="1"/>
      <c r="L315" s="1"/>
      <c r="M315" s="1"/>
      <c r="N315" s="25"/>
      <c r="O315" s="25"/>
      <c r="P315" s="24"/>
      <c r="Q315" s="1"/>
      <c r="R315" s="1"/>
      <c r="S315" s="24"/>
      <c r="T315" s="1"/>
      <c r="U315" s="1"/>
      <c r="V315" s="24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24"/>
      <c r="G316" s="1"/>
      <c r="H316" s="1"/>
      <c r="I316" s="1"/>
      <c r="J316" s="25"/>
      <c r="K316" s="1"/>
      <c r="L316" s="1"/>
      <c r="M316" s="1"/>
      <c r="N316" s="25"/>
      <c r="O316" s="25"/>
      <c r="P316" s="24"/>
      <c r="Q316" s="1"/>
      <c r="R316" s="1"/>
      <c r="S316" s="24"/>
      <c r="T316" s="1"/>
      <c r="U316" s="1"/>
      <c r="V316" s="24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24"/>
      <c r="G317" s="1"/>
      <c r="H317" s="1"/>
      <c r="I317" s="1"/>
      <c r="J317" s="25"/>
      <c r="K317" s="1"/>
      <c r="L317" s="1"/>
      <c r="M317" s="1"/>
      <c r="N317" s="25"/>
      <c r="O317" s="25"/>
      <c r="P317" s="24"/>
      <c r="Q317" s="1"/>
      <c r="R317" s="1"/>
      <c r="S317" s="24"/>
      <c r="T317" s="1"/>
      <c r="U317" s="1"/>
      <c r="V317" s="24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24"/>
      <c r="G318" s="1"/>
      <c r="H318" s="1"/>
      <c r="I318" s="1"/>
      <c r="J318" s="25"/>
      <c r="K318" s="1"/>
      <c r="L318" s="1"/>
      <c r="M318" s="1"/>
      <c r="N318" s="25"/>
      <c r="O318" s="25"/>
      <c r="P318" s="24"/>
      <c r="Q318" s="1"/>
      <c r="R318" s="1"/>
      <c r="S318" s="24"/>
      <c r="T318" s="1"/>
      <c r="U318" s="1"/>
      <c r="V318" s="24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24"/>
      <c r="G319" s="1"/>
      <c r="H319" s="1"/>
      <c r="I319" s="1"/>
      <c r="J319" s="25"/>
      <c r="K319" s="1"/>
      <c r="L319" s="1"/>
      <c r="M319" s="1"/>
      <c r="N319" s="25"/>
      <c r="O319" s="25"/>
      <c r="P319" s="24"/>
      <c r="Q319" s="1"/>
      <c r="R319" s="1"/>
      <c r="S319" s="24"/>
      <c r="T319" s="1"/>
      <c r="U319" s="1"/>
      <c r="V319" s="24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24"/>
      <c r="G320" s="1"/>
      <c r="H320" s="1"/>
      <c r="I320" s="1"/>
      <c r="J320" s="25"/>
      <c r="K320" s="1"/>
      <c r="L320" s="1"/>
      <c r="M320" s="1"/>
      <c r="N320" s="25"/>
      <c r="O320" s="25"/>
      <c r="P320" s="24"/>
      <c r="Q320" s="1"/>
      <c r="R320" s="1"/>
      <c r="S320" s="24"/>
      <c r="T320" s="1"/>
      <c r="U320" s="1"/>
      <c r="V320" s="24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24"/>
      <c r="G321" s="1"/>
      <c r="H321" s="1"/>
      <c r="I321" s="1"/>
      <c r="J321" s="25"/>
      <c r="K321" s="1"/>
      <c r="L321" s="1"/>
      <c r="M321" s="1"/>
      <c r="N321" s="25"/>
      <c r="O321" s="25"/>
      <c r="P321" s="24"/>
      <c r="Q321" s="1"/>
      <c r="R321" s="1"/>
      <c r="S321" s="24"/>
      <c r="T321" s="1"/>
      <c r="U321" s="1"/>
      <c r="V321" s="24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24"/>
      <c r="G322" s="1"/>
      <c r="H322" s="1"/>
      <c r="I322" s="1"/>
      <c r="J322" s="25"/>
      <c r="K322" s="1"/>
      <c r="L322" s="1"/>
      <c r="M322" s="1"/>
      <c r="N322" s="25"/>
      <c r="O322" s="25"/>
      <c r="P322" s="24"/>
      <c r="Q322" s="1"/>
      <c r="R322" s="1"/>
      <c r="S322" s="24"/>
      <c r="T322" s="1"/>
      <c r="U322" s="1"/>
      <c r="V322" s="24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24"/>
      <c r="G323" s="1"/>
      <c r="H323" s="1"/>
      <c r="I323" s="1"/>
      <c r="J323" s="25"/>
      <c r="K323" s="1"/>
      <c r="L323" s="1"/>
      <c r="M323" s="1"/>
      <c r="N323" s="25"/>
      <c r="O323" s="25"/>
      <c r="P323" s="24"/>
      <c r="Q323" s="1"/>
      <c r="R323" s="1"/>
      <c r="S323" s="24"/>
      <c r="T323" s="1"/>
      <c r="U323" s="1"/>
      <c r="V323" s="24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24"/>
      <c r="G324" s="1"/>
      <c r="H324" s="1"/>
      <c r="I324" s="1"/>
      <c r="J324" s="25"/>
      <c r="K324" s="1"/>
      <c r="L324" s="1"/>
      <c r="M324" s="1"/>
      <c r="N324" s="25"/>
      <c r="O324" s="25"/>
      <c r="P324" s="24"/>
      <c r="Q324" s="1"/>
      <c r="R324" s="1"/>
      <c r="S324" s="24"/>
      <c r="T324" s="1"/>
      <c r="U324" s="1"/>
      <c r="V324" s="24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24"/>
      <c r="G325" s="1"/>
      <c r="H325" s="1"/>
      <c r="I325" s="1"/>
      <c r="J325" s="25"/>
      <c r="K325" s="1"/>
      <c r="L325" s="1"/>
      <c r="M325" s="1"/>
      <c r="N325" s="25"/>
      <c r="O325" s="25"/>
      <c r="P325" s="24"/>
      <c r="Q325" s="1"/>
      <c r="R325" s="1"/>
      <c r="S325" s="24"/>
      <c r="T325" s="1"/>
      <c r="U325" s="1"/>
      <c r="V325" s="24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24"/>
      <c r="G326" s="1"/>
      <c r="H326" s="1"/>
      <c r="I326" s="1"/>
      <c r="J326" s="25"/>
      <c r="K326" s="1"/>
      <c r="L326" s="1"/>
      <c r="M326" s="1"/>
      <c r="N326" s="25"/>
      <c r="O326" s="25"/>
      <c r="P326" s="24"/>
      <c r="Q326" s="1"/>
      <c r="R326" s="1"/>
      <c r="S326" s="24"/>
      <c r="T326" s="1"/>
      <c r="U326" s="1"/>
      <c r="V326" s="24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24"/>
      <c r="G327" s="1"/>
      <c r="H327" s="1"/>
      <c r="I327" s="1"/>
      <c r="J327" s="25"/>
      <c r="K327" s="1"/>
      <c r="L327" s="1"/>
      <c r="M327" s="1"/>
      <c r="N327" s="25"/>
      <c r="O327" s="25"/>
      <c r="P327" s="24"/>
      <c r="Q327" s="1"/>
      <c r="R327" s="1"/>
      <c r="S327" s="24"/>
      <c r="T327" s="1"/>
      <c r="U327" s="1"/>
      <c r="V327" s="24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24"/>
      <c r="G328" s="1"/>
      <c r="H328" s="1"/>
      <c r="I328" s="1"/>
      <c r="J328" s="25"/>
      <c r="K328" s="1"/>
      <c r="L328" s="1"/>
      <c r="M328" s="1"/>
      <c r="N328" s="25"/>
      <c r="O328" s="25"/>
      <c r="P328" s="24"/>
      <c r="Q328" s="1"/>
      <c r="R328" s="1"/>
      <c r="S328" s="24"/>
      <c r="T328" s="1"/>
      <c r="U328" s="1"/>
      <c r="V328" s="24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24"/>
      <c r="G329" s="1"/>
      <c r="H329" s="1"/>
      <c r="I329" s="1"/>
      <c r="J329" s="25"/>
      <c r="K329" s="1"/>
      <c r="L329" s="1"/>
      <c r="M329" s="1"/>
      <c r="N329" s="25"/>
      <c r="O329" s="25"/>
      <c r="P329" s="24"/>
      <c r="Q329" s="1"/>
      <c r="R329" s="1"/>
      <c r="S329" s="24"/>
      <c r="T329" s="1"/>
      <c r="U329" s="1"/>
      <c r="V329" s="24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24"/>
      <c r="G330" s="1"/>
      <c r="H330" s="1"/>
      <c r="I330" s="1"/>
      <c r="J330" s="25"/>
      <c r="K330" s="1"/>
      <c r="L330" s="1"/>
      <c r="M330" s="1"/>
      <c r="N330" s="25"/>
      <c r="O330" s="25"/>
      <c r="P330" s="24"/>
      <c r="Q330" s="1"/>
      <c r="R330" s="1"/>
      <c r="S330" s="24"/>
      <c r="T330" s="1"/>
      <c r="U330" s="1"/>
      <c r="V330" s="24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24"/>
      <c r="G331" s="1"/>
      <c r="H331" s="1"/>
      <c r="I331" s="1"/>
      <c r="J331" s="25"/>
      <c r="K331" s="1"/>
      <c r="L331" s="1"/>
      <c r="M331" s="1"/>
      <c r="N331" s="25"/>
      <c r="O331" s="25"/>
      <c r="P331" s="24"/>
      <c r="Q331" s="1"/>
      <c r="R331" s="1"/>
      <c r="S331" s="24"/>
      <c r="T331" s="1"/>
      <c r="U331" s="1"/>
      <c r="V331" s="24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24"/>
      <c r="G332" s="1"/>
      <c r="H332" s="1"/>
      <c r="I332" s="1"/>
      <c r="J332" s="25"/>
      <c r="K332" s="1"/>
      <c r="L332" s="1"/>
      <c r="M332" s="1"/>
      <c r="N332" s="25"/>
      <c r="O332" s="25"/>
      <c r="P332" s="24"/>
      <c r="Q332" s="1"/>
      <c r="R332" s="1"/>
      <c r="S332" s="24"/>
      <c r="T332" s="1"/>
      <c r="U332" s="1"/>
      <c r="V332" s="24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24"/>
      <c r="G333" s="1"/>
      <c r="H333" s="1"/>
      <c r="I333" s="1"/>
      <c r="J333" s="25"/>
      <c r="K333" s="1"/>
      <c r="L333" s="1"/>
      <c r="M333" s="1"/>
      <c r="N333" s="25"/>
      <c r="O333" s="25"/>
      <c r="P333" s="24"/>
      <c r="Q333" s="1"/>
      <c r="R333" s="1"/>
      <c r="S333" s="24"/>
      <c r="T333" s="1"/>
      <c r="U333" s="1"/>
      <c r="V333" s="24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24"/>
      <c r="G334" s="1"/>
      <c r="H334" s="1"/>
      <c r="I334" s="1"/>
      <c r="J334" s="25"/>
      <c r="K334" s="1"/>
      <c r="L334" s="1"/>
      <c r="M334" s="1"/>
      <c r="N334" s="25"/>
      <c r="O334" s="25"/>
      <c r="P334" s="24"/>
      <c r="Q334" s="1"/>
      <c r="R334" s="1"/>
      <c r="S334" s="24"/>
      <c r="T334" s="1"/>
      <c r="U334" s="1"/>
      <c r="V334" s="24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24"/>
      <c r="G335" s="1"/>
      <c r="H335" s="1"/>
      <c r="I335" s="1"/>
      <c r="J335" s="25"/>
      <c r="K335" s="1"/>
      <c r="L335" s="1"/>
      <c r="M335" s="1"/>
      <c r="N335" s="25"/>
      <c r="O335" s="25"/>
      <c r="P335" s="24"/>
      <c r="Q335" s="1"/>
      <c r="R335" s="1"/>
      <c r="S335" s="24"/>
      <c r="T335" s="1"/>
      <c r="U335" s="1"/>
      <c r="V335" s="24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24"/>
      <c r="G336" s="1"/>
      <c r="H336" s="1"/>
      <c r="I336" s="1"/>
      <c r="J336" s="25"/>
      <c r="K336" s="1"/>
      <c r="L336" s="1"/>
      <c r="M336" s="1"/>
      <c r="N336" s="25"/>
      <c r="O336" s="25"/>
      <c r="P336" s="24"/>
      <c r="Q336" s="1"/>
      <c r="R336" s="1"/>
      <c r="S336" s="24"/>
      <c r="T336" s="1"/>
      <c r="U336" s="1"/>
      <c r="V336" s="24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24"/>
      <c r="G337" s="1"/>
      <c r="H337" s="1"/>
      <c r="I337" s="1"/>
      <c r="J337" s="25"/>
      <c r="K337" s="1"/>
      <c r="L337" s="1"/>
      <c r="M337" s="1"/>
      <c r="N337" s="25"/>
      <c r="O337" s="25"/>
      <c r="P337" s="24"/>
      <c r="Q337" s="1"/>
      <c r="R337" s="1"/>
      <c r="S337" s="24"/>
      <c r="T337" s="1"/>
      <c r="U337" s="1"/>
      <c r="V337" s="24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24"/>
      <c r="G338" s="1"/>
      <c r="H338" s="1"/>
      <c r="I338" s="1"/>
      <c r="J338" s="25"/>
      <c r="K338" s="1"/>
      <c r="L338" s="1"/>
      <c r="M338" s="1"/>
      <c r="N338" s="25"/>
      <c r="O338" s="25"/>
      <c r="P338" s="24"/>
      <c r="Q338" s="1"/>
      <c r="R338" s="1"/>
      <c r="S338" s="24"/>
      <c r="T338" s="1"/>
      <c r="U338" s="1"/>
      <c r="V338" s="24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24"/>
      <c r="G339" s="1"/>
      <c r="H339" s="1"/>
      <c r="I339" s="1"/>
      <c r="J339" s="25"/>
      <c r="K339" s="1"/>
      <c r="L339" s="1"/>
      <c r="M339" s="1"/>
      <c r="N339" s="25"/>
      <c r="O339" s="25"/>
      <c r="P339" s="24"/>
      <c r="Q339" s="1"/>
      <c r="R339" s="1"/>
      <c r="S339" s="24"/>
      <c r="T339" s="1"/>
      <c r="U339" s="1"/>
      <c r="V339" s="24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24"/>
      <c r="G340" s="1"/>
      <c r="H340" s="1"/>
      <c r="I340" s="1"/>
      <c r="J340" s="25"/>
      <c r="K340" s="1"/>
      <c r="L340" s="1"/>
      <c r="M340" s="1"/>
      <c r="N340" s="25"/>
      <c r="O340" s="25"/>
      <c r="P340" s="24"/>
      <c r="Q340" s="1"/>
      <c r="R340" s="1"/>
      <c r="S340" s="24"/>
      <c r="T340" s="1"/>
      <c r="U340" s="1"/>
      <c r="V340" s="24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24"/>
      <c r="G341" s="1"/>
      <c r="H341" s="1"/>
      <c r="I341" s="1"/>
      <c r="J341" s="25"/>
      <c r="K341" s="1"/>
      <c r="L341" s="1"/>
      <c r="M341" s="1"/>
      <c r="N341" s="25"/>
      <c r="O341" s="25"/>
      <c r="P341" s="24"/>
      <c r="Q341" s="1"/>
      <c r="R341" s="1"/>
      <c r="S341" s="24"/>
      <c r="T341" s="1"/>
      <c r="U341" s="1"/>
      <c r="V341" s="24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24"/>
      <c r="G342" s="1"/>
      <c r="H342" s="1"/>
      <c r="I342" s="1"/>
      <c r="J342" s="25"/>
      <c r="K342" s="1"/>
      <c r="L342" s="1"/>
      <c r="M342" s="1"/>
      <c r="N342" s="25"/>
      <c r="O342" s="25"/>
      <c r="P342" s="24"/>
      <c r="Q342" s="1"/>
      <c r="R342" s="1"/>
      <c r="S342" s="24"/>
      <c r="T342" s="1"/>
      <c r="U342" s="1"/>
      <c r="V342" s="24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24"/>
      <c r="G343" s="1"/>
      <c r="H343" s="1"/>
      <c r="I343" s="1"/>
      <c r="J343" s="25"/>
      <c r="K343" s="1"/>
      <c r="L343" s="1"/>
      <c r="M343" s="1"/>
      <c r="N343" s="25"/>
      <c r="O343" s="25"/>
      <c r="P343" s="24"/>
      <c r="Q343" s="1"/>
      <c r="R343" s="1"/>
      <c r="S343" s="24"/>
      <c r="T343" s="1"/>
      <c r="U343" s="1"/>
      <c r="V343" s="24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24"/>
      <c r="G344" s="1"/>
      <c r="H344" s="1"/>
      <c r="I344" s="1"/>
      <c r="J344" s="25"/>
      <c r="K344" s="1"/>
      <c r="L344" s="1"/>
      <c r="M344" s="1"/>
      <c r="N344" s="25"/>
      <c r="O344" s="25"/>
      <c r="P344" s="24"/>
      <c r="Q344" s="1"/>
      <c r="R344" s="1"/>
      <c r="S344" s="24"/>
      <c r="T344" s="1"/>
      <c r="U344" s="1"/>
      <c r="V344" s="24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24"/>
      <c r="G345" s="1"/>
      <c r="H345" s="1"/>
      <c r="I345" s="1"/>
      <c r="J345" s="25"/>
      <c r="K345" s="1"/>
      <c r="L345" s="1"/>
      <c r="M345" s="1"/>
      <c r="N345" s="25"/>
      <c r="O345" s="25"/>
      <c r="P345" s="24"/>
      <c r="Q345" s="1"/>
      <c r="R345" s="1"/>
      <c r="S345" s="24"/>
      <c r="T345" s="1"/>
      <c r="U345" s="1"/>
      <c r="V345" s="24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24"/>
      <c r="G346" s="1"/>
      <c r="H346" s="1"/>
      <c r="I346" s="1"/>
      <c r="J346" s="25"/>
      <c r="K346" s="1"/>
      <c r="L346" s="1"/>
      <c r="M346" s="1"/>
      <c r="N346" s="25"/>
      <c r="O346" s="25"/>
      <c r="P346" s="24"/>
      <c r="Q346" s="1"/>
      <c r="R346" s="1"/>
      <c r="S346" s="24"/>
      <c r="T346" s="1"/>
      <c r="U346" s="1"/>
      <c r="V346" s="24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24"/>
      <c r="G347" s="1"/>
      <c r="H347" s="1"/>
      <c r="I347" s="1"/>
      <c r="J347" s="25"/>
      <c r="K347" s="1"/>
      <c r="L347" s="1"/>
      <c r="M347" s="1"/>
      <c r="N347" s="25"/>
      <c r="O347" s="25"/>
      <c r="P347" s="24"/>
      <c r="Q347" s="1"/>
      <c r="R347" s="1"/>
      <c r="S347" s="24"/>
      <c r="T347" s="1"/>
      <c r="U347" s="1"/>
      <c r="V347" s="24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24"/>
      <c r="G348" s="1"/>
      <c r="H348" s="1"/>
      <c r="I348" s="1"/>
      <c r="J348" s="25"/>
      <c r="K348" s="1"/>
      <c r="L348" s="1"/>
      <c r="M348" s="1"/>
      <c r="N348" s="25"/>
      <c r="O348" s="25"/>
      <c r="P348" s="24"/>
      <c r="Q348" s="1"/>
      <c r="R348" s="1"/>
      <c r="S348" s="24"/>
      <c r="T348" s="1"/>
      <c r="U348" s="1"/>
      <c r="V348" s="24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24"/>
      <c r="G349" s="1"/>
      <c r="H349" s="1"/>
      <c r="I349" s="1"/>
      <c r="J349" s="25"/>
      <c r="K349" s="1"/>
      <c r="L349" s="1"/>
      <c r="M349" s="1"/>
      <c r="N349" s="25"/>
      <c r="O349" s="25"/>
      <c r="P349" s="24"/>
      <c r="Q349" s="1"/>
      <c r="R349" s="1"/>
      <c r="S349" s="24"/>
      <c r="T349" s="1"/>
      <c r="U349" s="1"/>
      <c r="V349" s="24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24"/>
      <c r="G350" s="1"/>
      <c r="H350" s="1"/>
      <c r="I350" s="1"/>
      <c r="J350" s="25"/>
      <c r="K350" s="1"/>
      <c r="L350" s="1"/>
      <c r="M350" s="1"/>
      <c r="N350" s="25"/>
      <c r="O350" s="25"/>
      <c r="P350" s="24"/>
      <c r="Q350" s="1"/>
      <c r="R350" s="1"/>
      <c r="S350" s="24"/>
      <c r="T350" s="1"/>
      <c r="U350" s="1"/>
      <c r="V350" s="24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24"/>
      <c r="G351" s="1"/>
      <c r="H351" s="1"/>
      <c r="I351" s="1"/>
      <c r="J351" s="25"/>
      <c r="K351" s="1"/>
      <c r="L351" s="1"/>
      <c r="M351" s="1"/>
      <c r="N351" s="25"/>
      <c r="O351" s="25"/>
      <c r="P351" s="24"/>
      <c r="Q351" s="1"/>
      <c r="R351" s="1"/>
      <c r="S351" s="24"/>
      <c r="T351" s="1"/>
      <c r="U351" s="1"/>
      <c r="V351" s="24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24"/>
      <c r="G352" s="1"/>
      <c r="H352" s="1"/>
      <c r="I352" s="1"/>
      <c r="J352" s="25"/>
      <c r="K352" s="1"/>
      <c r="L352" s="1"/>
      <c r="M352" s="1"/>
      <c r="N352" s="25"/>
      <c r="O352" s="25"/>
      <c r="P352" s="24"/>
      <c r="Q352" s="1"/>
      <c r="R352" s="1"/>
      <c r="S352" s="24"/>
      <c r="T352" s="1"/>
      <c r="U352" s="1"/>
      <c r="V352" s="24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24"/>
      <c r="G353" s="1"/>
      <c r="H353" s="1"/>
      <c r="I353" s="1"/>
      <c r="J353" s="25"/>
      <c r="K353" s="1"/>
      <c r="L353" s="1"/>
      <c r="M353" s="1"/>
      <c r="N353" s="25"/>
      <c r="O353" s="25"/>
      <c r="P353" s="24"/>
      <c r="Q353" s="1"/>
      <c r="R353" s="1"/>
      <c r="S353" s="24"/>
      <c r="T353" s="1"/>
      <c r="U353" s="1"/>
      <c r="V353" s="24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24"/>
      <c r="G354" s="1"/>
      <c r="H354" s="1"/>
      <c r="I354" s="1"/>
      <c r="J354" s="25"/>
      <c r="K354" s="1"/>
      <c r="L354" s="1"/>
      <c r="M354" s="1"/>
      <c r="N354" s="25"/>
      <c r="O354" s="25"/>
      <c r="P354" s="24"/>
      <c r="Q354" s="1"/>
      <c r="R354" s="1"/>
      <c r="S354" s="24"/>
      <c r="T354" s="1"/>
      <c r="U354" s="1"/>
      <c r="V354" s="24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24"/>
      <c r="G355" s="1"/>
      <c r="H355" s="1"/>
      <c r="I355" s="1"/>
      <c r="J355" s="25"/>
      <c r="K355" s="1"/>
      <c r="L355" s="1"/>
      <c r="M355" s="1"/>
      <c r="N355" s="25"/>
      <c r="O355" s="25"/>
      <c r="P355" s="24"/>
      <c r="Q355" s="1"/>
      <c r="R355" s="1"/>
      <c r="S355" s="24"/>
      <c r="T355" s="1"/>
      <c r="U355" s="1"/>
      <c r="V355" s="24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24"/>
      <c r="G356" s="1"/>
      <c r="H356" s="1"/>
      <c r="I356" s="1"/>
      <c r="J356" s="25"/>
      <c r="K356" s="1"/>
      <c r="L356" s="1"/>
      <c r="M356" s="1"/>
      <c r="N356" s="25"/>
      <c r="O356" s="25"/>
      <c r="P356" s="24"/>
      <c r="Q356" s="1"/>
      <c r="R356" s="1"/>
      <c r="S356" s="24"/>
      <c r="T356" s="1"/>
      <c r="U356" s="1"/>
      <c r="V356" s="24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24"/>
      <c r="G357" s="1"/>
      <c r="H357" s="1"/>
      <c r="I357" s="1"/>
      <c r="J357" s="25"/>
      <c r="K357" s="1"/>
      <c r="L357" s="1"/>
      <c r="M357" s="1"/>
      <c r="N357" s="25"/>
      <c r="O357" s="25"/>
      <c r="P357" s="24"/>
      <c r="Q357" s="1"/>
      <c r="R357" s="1"/>
      <c r="S357" s="24"/>
      <c r="T357" s="1"/>
      <c r="U357" s="1"/>
      <c r="V357" s="24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24"/>
      <c r="G358" s="1"/>
      <c r="H358" s="1"/>
      <c r="I358" s="1"/>
      <c r="J358" s="25"/>
      <c r="K358" s="1"/>
      <c r="L358" s="1"/>
      <c r="M358" s="1"/>
      <c r="N358" s="25"/>
      <c r="O358" s="25"/>
      <c r="P358" s="24"/>
      <c r="Q358" s="1"/>
      <c r="R358" s="1"/>
      <c r="S358" s="24"/>
      <c r="T358" s="1"/>
      <c r="U358" s="1"/>
      <c r="V358" s="24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24"/>
      <c r="G359" s="1"/>
      <c r="H359" s="1"/>
      <c r="I359" s="1"/>
      <c r="J359" s="25"/>
      <c r="K359" s="1"/>
      <c r="L359" s="1"/>
      <c r="M359" s="1"/>
      <c r="N359" s="25"/>
      <c r="O359" s="25"/>
      <c r="P359" s="24"/>
      <c r="Q359" s="1"/>
      <c r="R359" s="1"/>
      <c r="S359" s="24"/>
      <c r="T359" s="1"/>
      <c r="U359" s="1"/>
      <c r="V359" s="24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24"/>
      <c r="G360" s="1"/>
      <c r="H360" s="1"/>
      <c r="I360" s="1"/>
      <c r="J360" s="25"/>
      <c r="K360" s="1"/>
      <c r="L360" s="1"/>
      <c r="M360" s="1"/>
      <c r="N360" s="25"/>
      <c r="O360" s="25"/>
      <c r="P360" s="24"/>
      <c r="Q360" s="1"/>
      <c r="R360" s="1"/>
      <c r="S360" s="24"/>
      <c r="T360" s="1"/>
      <c r="U360" s="1"/>
      <c r="V360" s="24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24"/>
      <c r="G361" s="1"/>
      <c r="H361" s="1"/>
      <c r="I361" s="1"/>
      <c r="J361" s="25"/>
      <c r="K361" s="1"/>
      <c r="L361" s="1"/>
      <c r="M361" s="1"/>
      <c r="N361" s="25"/>
      <c r="O361" s="25"/>
      <c r="P361" s="24"/>
      <c r="Q361" s="1"/>
      <c r="R361" s="1"/>
      <c r="S361" s="24"/>
      <c r="T361" s="1"/>
      <c r="U361" s="1"/>
      <c r="V361" s="24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24"/>
      <c r="G362" s="1"/>
      <c r="H362" s="1"/>
      <c r="I362" s="1"/>
      <c r="J362" s="25"/>
      <c r="K362" s="1"/>
      <c r="L362" s="1"/>
      <c r="M362" s="1"/>
      <c r="N362" s="25"/>
      <c r="O362" s="25"/>
      <c r="P362" s="24"/>
      <c r="Q362" s="1"/>
      <c r="R362" s="1"/>
      <c r="S362" s="24"/>
      <c r="T362" s="1"/>
      <c r="U362" s="1"/>
      <c r="V362" s="24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24"/>
      <c r="G363" s="1"/>
      <c r="H363" s="1"/>
      <c r="I363" s="1"/>
      <c r="J363" s="25"/>
      <c r="K363" s="1"/>
      <c r="L363" s="1"/>
      <c r="M363" s="1"/>
      <c r="N363" s="25"/>
      <c r="O363" s="25"/>
      <c r="P363" s="24"/>
      <c r="Q363" s="1"/>
      <c r="R363" s="1"/>
      <c r="S363" s="24"/>
      <c r="T363" s="1"/>
      <c r="U363" s="1"/>
      <c r="V363" s="24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24"/>
      <c r="G364" s="1"/>
      <c r="H364" s="1"/>
      <c r="I364" s="1"/>
      <c r="J364" s="25"/>
      <c r="K364" s="1"/>
      <c r="L364" s="1"/>
      <c r="M364" s="1"/>
      <c r="N364" s="25"/>
      <c r="O364" s="25"/>
      <c r="P364" s="24"/>
      <c r="Q364" s="1"/>
      <c r="R364" s="1"/>
      <c r="S364" s="24"/>
      <c r="T364" s="1"/>
      <c r="U364" s="1"/>
      <c r="V364" s="24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24"/>
      <c r="G365" s="1"/>
      <c r="H365" s="1"/>
      <c r="I365" s="1"/>
      <c r="J365" s="25"/>
      <c r="K365" s="1"/>
      <c r="L365" s="1"/>
      <c r="M365" s="1"/>
      <c r="N365" s="25"/>
      <c r="O365" s="25"/>
      <c r="P365" s="24"/>
      <c r="Q365" s="1"/>
      <c r="R365" s="1"/>
      <c r="S365" s="24"/>
      <c r="T365" s="1"/>
      <c r="U365" s="1"/>
      <c r="V365" s="24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24"/>
      <c r="G366" s="1"/>
      <c r="H366" s="1"/>
      <c r="I366" s="1"/>
      <c r="J366" s="25"/>
      <c r="K366" s="1"/>
      <c r="L366" s="1"/>
      <c r="M366" s="1"/>
      <c r="N366" s="25"/>
      <c r="O366" s="25"/>
      <c r="P366" s="24"/>
      <c r="Q366" s="1"/>
      <c r="R366" s="1"/>
      <c r="S366" s="24"/>
      <c r="T366" s="1"/>
      <c r="U366" s="1"/>
      <c r="V366" s="24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24"/>
      <c r="G367" s="1"/>
      <c r="H367" s="1"/>
      <c r="I367" s="1"/>
      <c r="J367" s="25"/>
      <c r="K367" s="1"/>
      <c r="L367" s="1"/>
      <c r="M367" s="1"/>
      <c r="N367" s="25"/>
      <c r="O367" s="25"/>
      <c r="P367" s="24"/>
      <c r="Q367" s="1"/>
      <c r="R367" s="1"/>
      <c r="S367" s="24"/>
      <c r="T367" s="1"/>
      <c r="U367" s="1"/>
      <c r="V367" s="24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24"/>
      <c r="G368" s="1"/>
      <c r="H368" s="1"/>
      <c r="I368" s="1"/>
      <c r="J368" s="25"/>
      <c r="K368" s="1"/>
      <c r="L368" s="1"/>
      <c r="M368" s="1"/>
      <c r="N368" s="25"/>
      <c r="O368" s="25"/>
      <c r="P368" s="24"/>
      <c r="Q368" s="1"/>
      <c r="R368" s="1"/>
      <c r="S368" s="24"/>
      <c r="T368" s="1"/>
      <c r="U368" s="1"/>
      <c r="V368" s="24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24"/>
      <c r="G369" s="1"/>
      <c r="H369" s="1"/>
      <c r="I369" s="1"/>
      <c r="J369" s="25"/>
      <c r="K369" s="1"/>
      <c r="L369" s="1"/>
      <c r="M369" s="1"/>
      <c r="N369" s="25"/>
      <c r="O369" s="25"/>
      <c r="P369" s="24"/>
      <c r="Q369" s="1"/>
      <c r="R369" s="1"/>
      <c r="S369" s="24"/>
      <c r="T369" s="1"/>
      <c r="U369" s="1"/>
      <c r="V369" s="24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24"/>
      <c r="G370" s="1"/>
      <c r="H370" s="1"/>
      <c r="I370" s="1"/>
      <c r="J370" s="25"/>
      <c r="K370" s="1"/>
      <c r="L370" s="1"/>
      <c r="M370" s="1"/>
      <c r="N370" s="25"/>
      <c r="O370" s="25"/>
      <c r="P370" s="24"/>
      <c r="Q370" s="1"/>
      <c r="R370" s="1"/>
      <c r="S370" s="24"/>
      <c r="T370" s="1"/>
      <c r="U370" s="1"/>
      <c r="V370" s="24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24"/>
      <c r="G371" s="1"/>
      <c r="H371" s="1"/>
      <c r="I371" s="1"/>
      <c r="J371" s="25"/>
      <c r="K371" s="1"/>
      <c r="L371" s="1"/>
      <c r="M371" s="1"/>
      <c r="N371" s="25"/>
      <c r="O371" s="25"/>
      <c r="P371" s="24"/>
      <c r="Q371" s="1"/>
      <c r="R371" s="1"/>
      <c r="S371" s="24"/>
      <c r="T371" s="1"/>
      <c r="U371" s="1"/>
      <c r="V371" s="24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24"/>
      <c r="G372" s="1"/>
      <c r="H372" s="1"/>
      <c r="I372" s="1"/>
      <c r="J372" s="25"/>
      <c r="K372" s="1"/>
      <c r="L372" s="1"/>
      <c r="M372" s="1"/>
      <c r="N372" s="25"/>
      <c r="O372" s="25"/>
      <c r="P372" s="24"/>
      <c r="Q372" s="1"/>
      <c r="R372" s="1"/>
      <c r="S372" s="24"/>
      <c r="T372" s="1"/>
      <c r="U372" s="1"/>
      <c r="V372" s="24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24"/>
      <c r="G373" s="1"/>
      <c r="H373" s="1"/>
      <c r="I373" s="1"/>
      <c r="J373" s="25"/>
      <c r="K373" s="1"/>
      <c r="L373" s="1"/>
      <c r="M373" s="1"/>
      <c r="N373" s="25"/>
      <c r="O373" s="25"/>
      <c r="P373" s="24"/>
      <c r="Q373" s="1"/>
      <c r="R373" s="1"/>
      <c r="S373" s="24"/>
      <c r="T373" s="1"/>
      <c r="U373" s="1"/>
      <c r="V373" s="24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24"/>
      <c r="G374" s="1"/>
      <c r="H374" s="1"/>
      <c r="I374" s="1"/>
      <c r="J374" s="25"/>
      <c r="K374" s="1"/>
      <c r="L374" s="1"/>
      <c r="M374" s="1"/>
      <c r="N374" s="25"/>
      <c r="O374" s="25"/>
      <c r="P374" s="24"/>
      <c r="Q374" s="1"/>
      <c r="R374" s="1"/>
      <c r="S374" s="24"/>
      <c r="T374" s="1"/>
      <c r="U374" s="1"/>
      <c r="V374" s="24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24"/>
      <c r="G375" s="1"/>
      <c r="H375" s="1"/>
      <c r="I375" s="1"/>
      <c r="J375" s="25"/>
      <c r="K375" s="1"/>
      <c r="L375" s="1"/>
      <c r="M375" s="1"/>
      <c r="N375" s="25"/>
      <c r="O375" s="25"/>
      <c r="P375" s="24"/>
      <c r="Q375" s="1"/>
      <c r="R375" s="1"/>
      <c r="S375" s="24"/>
      <c r="T375" s="1"/>
      <c r="U375" s="1"/>
      <c r="V375" s="24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24"/>
      <c r="G376" s="1"/>
      <c r="H376" s="1"/>
      <c r="I376" s="1"/>
      <c r="J376" s="25"/>
      <c r="K376" s="1"/>
      <c r="L376" s="1"/>
      <c r="M376" s="1"/>
      <c r="N376" s="25"/>
      <c r="O376" s="25"/>
      <c r="P376" s="24"/>
      <c r="Q376" s="1"/>
      <c r="R376" s="1"/>
      <c r="S376" s="24"/>
      <c r="T376" s="1"/>
      <c r="U376" s="1"/>
      <c r="V376" s="24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24"/>
      <c r="G377" s="1"/>
      <c r="H377" s="1"/>
      <c r="I377" s="1"/>
      <c r="J377" s="25"/>
      <c r="K377" s="1"/>
      <c r="L377" s="1"/>
      <c r="M377" s="1"/>
      <c r="N377" s="25"/>
      <c r="O377" s="25"/>
      <c r="P377" s="24"/>
      <c r="Q377" s="1"/>
      <c r="R377" s="1"/>
      <c r="S377" s="24"/>
      <c r="T377" s="1"/>
      <c r="U377" s="1"/>
      <c r="V377" s="24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24"/>
      <c r="G378" s="1"/>
      <c r="H378" s="1"/>
      <c r="I378" s="1"/>
      <c r="J378" s="25"/>
      <c r="K378" s="1"/>
      <c r="L378" s="1"/>
      <c r="M378" s="1"/>
      <c r="N378" s="25"/>
      <c r="O378" s="25"/>
      <c r="P378" s="24"/>
      <c r="Q378" s="1"/>
      <c r="R378" s="1"/>
      <c r="S378" s="24"/>
      <c r="T378" s="1"/>
      <c r="U378" s="1"/>
      <c r="V378" s="24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24"/>
      <c r="G379" s="1"/>
      <c r="H379" s="1"/>
      <c r="I379" s="1"/>
      <c r="J379" s="25"/>
      <c r="K379" s="1"/>
      <c r="L379" s="1"/>
      <c r="M379" s="1"/>
      <c r="N379" s="25"/>
      <c r="O379" s="25"/>
      <c r="P379" s="24"/>
      <c r="Q379" s="1"/>
      <c r="R379" s="1"/>
      <c r="S379" s="24"/>
      <c r="T379" s="1"/>
      <c r="U379" s="1"/>
      <c r="V379" s="24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24"/>
      <c r="G380" s="1"/>
      <c r="H380" s="1"/>
      <c r="I380" s="1"/>
      <c r="J380" s="25"/>
      <c r="K380" s="1"/>
      <c r="L380" s="1"/>
      <c r="M380" s="1"/>
      <c r="N380" s="25"/>
      <c r="O380" s="25"/>
      <c r="P380" s="24"/>
      <c r="Q380" s="1"/>
      <c r="R380" s="1"/>
      <c r="S380" s="24"/>
      <c r="T380" s="1"/>
      <c r="U380" s="1"/>
      <c r="V380" s="24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24"/>
      <c r="G381" s="1"/>
      <c r="H381" s="1"/>
      <c r="I381" s="1"/>
      <c r="J381" s="25"/>
      <c r="K381" s="1"/>
      <c r="L381" s="1"/>
      <c r="M381" s="1"/>
      <c r="N381" s="25"/>
      <c r="O381" s="25"/>
      <c r="P381" s="24"/>
      <c r="Q381" s="1"/>
      <c r="R381" s="1"/>
      <c r="S381" s="24"/>
      <c r="T381" s="1"/>
      <c r="U381" s="1"/>
      <c r="V381" s="24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24"/>
      <c r="G382" s="1"/>
      <c r="H382" s="1"/>
      <c r="I382" s="1"/>
      <c r="J382" s="25"/>
      <c r="K382" s="1"/>
      <c r="L382" s="1"/>
      <c r="M382" s="1"/>
      <c r="N382" s="25"/>
      <c r="O382" s="25"/>
      <c r="P382" s="24"/>
      <c r="Q382" s="1"/>
      <c r="R382" s="1"/>
      <c r="S382" s="24"/>
      <c r="T382" s="1"/>
      <c r="U382" s="1"/>
      <c r="V382" s="24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24"/>
      <c r="G383" s="1"/>
      <c r="H383" s="1"/>
      <c r="I383" s="1"/>
      <c r="J383" s="25"/>
      <c r="K383" s="1"/>
      <c r="L383" s="1"/>
      <c r="M383" s="1"/>
      <c r="N383" s="25"/>
      <c r="O383" s="25"/>
      <c r="P383" s="24"/>
      <c r="Q383" s="1"/>
      <c r="R383" s="1"/>
      <c r="S383" s="24"/>
      <c r="T383" s="1"/>
      <c r="U383" s="1"/>
      <c r="V383" s="24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24"/>
      <c r="G384" s="1"/>
      <c r="H384" s="1"/>
      <c r="I384" s="1"/>
      <c r="J384" s="25"/>
      <c r="K384" s="1"/>
      <c r="L384" s="1"/>
      <c r="M384" s="1"/>
      <c r="N384" s="25"/>
      <c r="O384" s="25"/>
      <c r="P384" s="24"/>
      <c r="Q384" s="1"/>
      <c r="R384" s="1"/>
      <c r="S384" s="24"/>
      <c r="T384" s="1"/>
      <c r="U384" s="1"/>
      <c r="V384" s="24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24"/>
      <c r="G385" s="1"/>
      <c r="H385" s="1"/>
      <c r="I385" s="1"/>
      <c r="J385" s="25"/>
      <c r="K385" s="1"/>
      <c r="L385" s="1"/>
      <c r="M385" s="1"/>
      <c r="N385" s="25"/>
      <c r="O385" s="25"/>
      <c r="P385" s="24"/>
      <c r="Q385" s="1"/>
      <c r="R385" s="1"/>
      <c r="S385" s="24"/>
      <c r="T385" s="1"/>
      <c r="U385" s="1"/>
      <c r="V385" s="24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24"/>
      <c r="G386" s="1"/>
      <c r="H386" s="1"/>
      <c r="I386" s="1"/>
      <c r="J386" s="25"/>
      <c r="K386" s="1"/>
      <c r="L386" s="1"/>
      <c r="M386" s="1"/>
      <c r="N386" s="25"/>
      <c r="O386" s="25"/>
      <c r="P386" s="24"/>
      <c r="Q386" s="1"/>
      <c r="R386" s="1"/>
      <c r="S386" s="24"/>
      <c r="T386" s="1"/>
      <c r="U386" s="1"/>
      <c r="V386" s="24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24"/>
      <c r="G387" s="1"/>
      <c r="H387" s="1"/>
      <c r="I387" s="1"/>
      <c r="J387" s="25"/>
      <c r="K387" s="1"/>
      <c r="L387" s="1"/>
      <c r="M387" s="1"/>
      <c r="N387" s="25"/>
      <c r="O387" s="25"/>
      <c r="P387" s="24"/>
      <c r="Q387" s="1"/>
      <c r="R387" s="1"/>
      <c r="S387" s="24"/>
      <c r="T387" s="1"/>
      <c r="U387" s="1"/>
      <c r="V387" s="24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24"/>
      <c r="G388" s="1"/>
      <c r="H388" s="1"/>
      <c r="I388" s="1"/>
      <c r="J388" s="25"/>
      <c r="K388" s="1"/>
      <c r="L388" s="1"/>
      <c r="M388" s="1"/>
      <c r="N388" s="25"/>
      <c r="O388" s="25"/>
      <c r="P388" s="24"/>
      <c r="Q388" s="1"/>
      <c r="R388" s="1"/>
      <c r="S388" s="24"/>
      <c r="T388" s="1"/>
      <c r="U388" s="1"/>
      <c r="V388" s="24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24"/>
      <c r="G389" s="1"/>
      <c r="H389" s="1"/>
      <c r="I389" s="1"/>
      <c r="J389" s="25"/>
      <c r="K389" s="1"/>
      <c r="L389" s="1"/>
      <c r="M389" s="1"/>
      <c r="N389" s="25"/>
      <c r="O389" s="25"/>
      <c r="P389" s="24"/>
      <c r="Q389" s="1"/>
      <c r="R389" s="1"/>
      <c r="S389" s="24"/>
      <c r="T389" s="1"/>
      <c r="U389" s="1"/>
      <c r="V389" s="24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24"/>
      <c r="G390" s="1"/>
      <c r="H390" s="1"/>
      <c r="I390" s="1"/>
      <c r="J390" s="25"/>
      <c r="K390" s="1"/>
      <c r="L390" s="1"/>
      <c r="M390" s="1"/>
      <c r="N390" s="25"/>
      <c r="O390" s="25"/>
      <c r="P390" s="24"/>
      <c r="Q390" s="1"/>
      <c r="R390" s="1"/>
      <c r="S390" s="24"/>
      <c r="T390" s="1"/>
      <c r="U390" s="1"/>
      <c r="V390" s="24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24"/>
      <c r="G391" s="1"/>
      <c r="H391" s="1"/>
      <c r="I391" s="1"/>
      <c r="J391" s="25"/>
      <c r="K391" s="1"/>
      <c r="L391" s="1"/>
      <c r="M391" s="1"/>
      <c r="N391" s="25"/>
      <c r="O391" s="25"/>
      <c r="P391" s="24"/>
      <c r="Q391" s="1"/>
      <c r="R391" s="1"/>
      <c r="S391" s="24"/>
      <c r="T391" s="1"/>
      <c r="U391" s="1"/>
      <c r="V391" s="24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24"/>
      <c r="G392" s="1"/>
      <c r="H392" s="1"/>
      <c r="I392" s="1"/>
      <c r="J392" s="25"/>
      <c r="K392" s="1"/>
      <c r="L392" s="1"/>
      <c r="M392" s="1"/>
      <c r="N392" s="25"/>
      <c r="O392" s="25"/>
      <c r="P392" s="24"/>
      <c r="Q392" s="1"/>
      <c r="R392" s="1"/>
      <c r="S392" s="24"/>
      <c r="T392" s="1"/>
      <c r="U392" s="1"/>
      <c r="V392" s="24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24"/>
      <c r="G393" s="1"/>
      <c r="H393" s="1"/>
      <c r="I393" s="1"/>
      <c r="J393" s="25"/>
      <c r="K393" s="1"/>
      <c r="L393" s="1"/>
      <c r="M393" s="1"/>
      <c r="N393" s="25"/>
      <c r="O393" s="25"/>
      <c r="P393" s="24"/>
      <c r="Q393" s="1"/>
      <c r="R393" s="1"/>
      <c r="S393" s="24"/>
      <c r="T393" s="1"/>
      <c r="U393" s="1"/>
      <c r="V393" s="24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24"/>
      <c r="G394" s="1"/>
      <c r="H394" s="1"/>
      <c r="I394" s="1"/>
      <c r="J394" s="25"/>
      <c r="K394" s="1"/>
      <c r="L394" s="1"/>
      <c r="M394" s="1"/>
      <c r="N394" s="25"/>
      <c r="O394" s="25"/>
      <c r="P394" s="24"/>
      <c r="Q394" s="1"/>
      <c r="R394" s="1"/>
      <c r="S394" s="24"/>
      <c r="T394" s="1"/>
      <c r="U394" s="1"/>
      <c r="V394" s="24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24"/>
      <c r="G395" s="1"/>
      <c r="H395" s="1"/>
      <c r="I395" s="1"/>
      <c r="J395" s="25"/>
      <c r="K395" s="1"/>
      <c r="L395" s="1"/>
      <c r="M395" s="1"/>
      <c r="N395" s="25"/>
      <c r="O395" s="25"/>
      <c r="P395" s="24"/>
      <c r="Q395" s="1"/>
      <c r="R395" s="1"/>
      <c r="S395" s="24"/>
      <c r="T395" s="1"/>
      <c r="U395" s="1"/>
      <c r="V395" s="24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24"/>
      <c r="G396" s="1"/>
      <c r="H396" s="1"/>
      <c r="I396" s="1"/>
      <c r="J396" s="25"/>
      <c r="K396" s="1"/>
      <c r="L396" s="1"/>
      <c r="M396" s="1"/>
      <c r="N396" s="25"/>
      <c r="O396" s="25"/>
      <c r="P396" s="24"/>
      <c r="Q396" s="1"/>
      <c r="R396" s="1"/>
      <c r="S396" s="24"/>
      <c r="T396" s="1"/>
      <c r="U396" s="1"/>
      <c r="V396" s="24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24"/>
      <c r="G397" s="1"/>
      <c r="H397" s="1"/>
      <c r="I397" s="1"/>
      <c r="J397" s="25"/>
      <c r="K397" s="1"/>
      <c r="L397" s="1"/>
      <c r="M397" s="1"/>
      <c r="N397" s="25"/>
      <c r="O397" s="25"/>
      <c r="P397" s="24"/>
      <c r="Q397" s="1"/>
      <c r="R397" s="1"/>
      <c r="S397" s="24"/>
      <c r="T397" s="1"/>
      <c r="U397" s="1"/>
      <c r="V397" s="24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24"/>
      <c r="G398" s="1"/>
      <c r="H398" s="1"/>
      <c r="I398" s="1"/>
      <c r="J398" s="25"/>
      <c r="K398" s="1"/>
      <c r="L398" s="1"/>
      <c r="M398" s="1"/>
      <c r="N398" s="25"/>
      <c r="O398" s="25"/>
      <c r="P398" s="24"/>
      <c r="Q398" s="1"/>
      <c r="R398" s="1"/>
      <c r="S398" s="24"/>
      <c r="T398" s="1"/>
      <c r="U398" s="1"/>
      <c r="V398" s="24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24"/>
      <c r="G399" s="1"/>
      <c r="H399" s="1"/>
      <c r="I399" s="1"/>
      <c r="J399" s="25"/>
      <c r="K399" s="1"/>
      <c r="L399" s="1"/>
      <c r="M399" s="1"/>
      <c r="N399" s="25"/>
      <c r="O399" s="25"/>
      <c r="P399" s="24"/>
      <c r="Q399" s="1"/>
      <c r="R399" s="1"/>
      <c r="S399" s="24"/>
      <c r="T399" s="1"/>
      <c r="U399" s="1"/>
      <c r="V399" s="24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24"/>
      <c r="G400" s="1"/>
      <c r="H400" s="1"/>
      <c r="I400" s="1"/>
      <c r="J400" s="25"/>
      <c r="K400" s="1"/>
      <c r="L400" s="1"/>
      <c r="M400" s="1"/>
      <c r="N400" s="25"/>
      <c r="O400" s="25"/>
      <c r="P400" s="24"/>
      <c r="Q400" s="1"/>
      <c r="R400" s="1"/>
      <c r="S400" s="24"/>
      <c r="T400" s="1"/>
      <c r="U400" s="1"/>
      <c r="V400" s="24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24"/>
      <c r="G401" s="1"/>
      <c r="H401" s="1"/>
      <c r="I401" s="1"/>
      <c r="J401" s="25"/>
      <c r="K401" s="1"/>
      <c r="L401" s="1"/>
      <c r="M401" s="1"/>
      <c r="N401" s="25"/>
      <c r="O401" s="25"/>
      <c r="P401" s="24"/>
      <c r="Q401" s="1"/>
      <c r="R401" s="1"/>
      <c r="S401" s="24"/>
      <c r="T401" s="1"/>
      <c r="U401" s="1"/>
      <c r="V401" s="24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24"/>
      <c r="G402" s="1"/>
      <c r="H402" s="1"/>
      <c r="I402" s="1"/>
      <c r="J402" s="25"/>
      <c r="K402" s="1"/>
      <c r="L402" s="1"/>
      <c r="M402" s="1"/>
      <c r="N402" s="25"/>
      <c r="O402" s="25"/>
      <c r="P402" s="24"/>
      <c r="Q402" s="1"/>
      <c r="R402" s="1"/>
      <c r="S402" s="24"/>
      <c r="T402" s="1"/>
      <c r="U402" s="1"/>
      <c r="V402" s="24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24"/>
      <c r="G403" s="1"/>
      <c r="H403" s="1"/>
      <c r="I403" s="1"/>
      <c r="J403" s="25"/>
      <c r="K403" s="1"/>
      <c r="L403" s="1"/>
      <c r="M403" s="1"/>
      <c r="N403" s="25"/>
      <c r="O403" s="25"/>
      <c r="P403" s="24"/>
      <c r="Q403" s="1"/>
      <c r="R403" s="1"/>
      <c r="S403" s="24"/>
      <c r="T403" s="1"/>
      <c r="U403" s="1"/>
      <c r="V403" s="24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24"/>
      <c r="G404" s="1"/>
      <c r="H404" s="1"/>
      <c r="I404" s="1"/>
      <c r="J404" s="25"/>
      <c r="K404" s="1"/>
      <c r="L404" s="1"/>
      <c r="M404" s="1"/>
      <c r="N404" s="25"/>
      <c r="O404" s="25"/>
      <c r="P404" s="24"/>
      <c r="Q404" s="1"/>
      <c r="R404" s="1"/>
      <c r="S404" s="24"/>
      <c r="T404" s="1"/>
      <c r="U404" s="1"/>
      <c r="V404" s="24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24"/>
      <c r="G405" s="1"/>
      <c r="H405" s="1"/>
      <c r="I405" s="1"/>
      <c r="J405" s="25"/>
      <c r="K405" s="1"/>
      <c r="L405" s="1"/>
      <c r="M405" s="1"/>
      <c r="N405" s="25"/>
      <c r="O405" s="25"/>
      <c r="P405" s="24"/>
      <c r="Q405" s="1"/>
      <c r="R405" s="1"/>
      <c r="S405" s="24"/>
      <c r="T405" s="1"/>
      <c r="U405" s="1"/>
      <c r="V405" s="24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24"/>
      <c r="G406" s="1"/>
      <c r="H406" s="1"/>
      <c r="I406" s="1"/>
      <c r="J406" s="25"/>
      <c r="K406" s="1"/>
      <c r="L406" s="1"/>
      <c r="M406" s="1"/>
      <c r="N406" s="25"/>
      <c r="O406" s="25"/>
      <c r="P406" s="24"/>
      <c r="Q406" s="1"/>
      <c r="R406" s="1"/>
      <c r="S406" s="24"/>
      <c r="T406" s="1"/>
      <c r="U406" s="1"/>
      <c r="V406" s="24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24"/>
      <c r="G407" s="1"/>
      <c r="H407" s="1"/>
      <c r="I407" s="1"/>
      <c r="J407" s="25"/>
      <c r="K407" s="1"/>
      <c r="L407" s="1"/>
      <c r="M407" s="1"/>
      <c r="N407" s="25"/>
      <c r="O407" s="25"/>
      <c r="P407" s="24"/>
      <c r="Q407" s="1"/>
      <c r="R407" s="1"/>
      <c r="S407" s="24"/>
      <c r="T407" s="1"/>
      <c r="U407" s="1"/>
      <c r="V407" s="24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24"/>
      <c r="G408" s="1"/>
      <c r="H408" s="1"/>
      <c r="I408" s="1"/>
      <c r="J408" s="25"/>
      <c r="K408" s="1"/>
      <c r="L408" s="1"/>
      <c r="M408" s="1"/>
      <c r="N408" s="25"/>
      <c r="O408" s="25"/>
      <c r="P408" s="24"/>
      <c r="Q408" s="1"/>
      <c r="R408" s="1"/>
      <c r="S408" s="24"/>
      <c r="T408" s="1"/>
      <c r="U408" s="1"/>
      <c r="V408" s="24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24"/>
      <c r="G409" s="1"/>
      <c r="H409" s="1"/>
      <c r="I409" s="1"/>
      <c r="J409" s="25"/>
      <c r="K409" s="1"/>
      <c r="L409" s="1"/>
      <c r="M409" s="1"/>
      <c r="N409" s="25"/>
      <c r="O409" s="25"/>
      <c r="P409" s="24"/>
      <c r="Q409" s="1"/>
      <c r="R409" s="1"/>
      <c r="S409" s="24"/>
      <c r="T409" s="1"/>
      <c r="U409" s="1"/>
      <c r="V409" s="24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24"/>
      <c r="G410" s="1"/>
      <c r="H410" s="1"/>
      <c r="I410" s="1"/>
      <c r="J410" s="25"/>
      <c r="K410" s="1"/>
      <c r="L410" s="1"/>
      <c r="M410" s="1"/>
      <c r="N410" s="25"/>
      <c r="O410" s="25"/>
      <c r="P410" s="24"/>
      <c r="Q410" s="1"/>
      <c r="R410" s="1"/>
      <c r="S410" s="24"/>
      <c r="T410" s="1"/>
      <c r="U410" s="1"/>
      <c r="V410" s="24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24"/>
      <c r="G411" s="1"/>
      <c r="H411" s="1"/>
      <c r="I411" s="1"/>
      <c r="J411" s="25"/>
      <c r="K411" s="1"/>
      <c r="L411" s="1"/>
      <c r="M411" s="1"/>
      <c r="N411" s="25"/>
      <c r="O411" s="25"/>
      <c r="P411" s="24"/>
      <c r="Q411" s="1"/>
      <c r="R411" s="1"/>
      <c r="S411" s="24"/>
      <c r="T411" s="1"/>
      <c r="U411" s="1"/>
      <c r="V411" s="24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24"/>
      <c r="G412" s="1"/>
      <c r="H412" s="1"/>
      <c r="I412" s="1"/>
      <c r="J412" s="25"/>
      <c r="K412" s="1"/>
      <c r="L412" s="1"/>
      <c r="M412" s="1"/>
      <c r="N412" s="25"/>
      <c r="O412" s="25"/>
      <c r="P412" s="24"/>
      <c r="Q412" s="1"/>
      <c r="R412" s="1"/>
      <c r="S412" s="24"/>
      <c r="T412" s="1"/>
      <c r="U412" s="1"/>
      <c r="V412" s="24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24"/>
      <c r="G413" s="1"/>
      <c r="H413" s="1"/>
      <c r="I413" s="1"/>
      <c r="J413" s="25"/>
      <c r="K413" s="1"/>
      <c r="L413" s="1"/>
      <c r="M413" s="1"/>
      <c r="N413" s="25"/>
      <c r="O413" s="25"/>
      <c r="P413" s="24"/>
      <c r="Q413" s="1"/>
      <c r="R413" s="1"/>
      <c r="S413" s="24"/>
      <c r="T413" s="1"/>
      <c r="U413" s="1"/>
      <c r="V413" s="24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24"/>
      <c r="G414" s="1"/>
      <c r="H414" s="1"/>
      <c r="I414" s="1"/>
      <c r="J414" s="25"/>
      <c r="K414" s="1"/>
      <c r="L414" s="1"/>
      <c r="M414" s="1"/>
      <c r="N414" s="25"/>
      <c r="O414" s="25"/>
      <c r="P414" s="24"/>
      <c r="Q414" s="1"/>
      <c r="R414" s="1"/>
      <c r="S414" s="24"/>
      <c r="T414" s="1"/>
      <c r="U414" s="1"/>
      <c r="V414" s="24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24"/>
      <c r="G415" s="1"/>
      <c r="H415" s="1"/>
      <c r="I415" s="1"/>
      <c r="J415" s="25"/>
      <c r="K415" s="1"/>
      <c r="L415" s="1"/>
      <c r="M415" s="1"/>
      <c r="N415" s="25"/>
      <c r="O415" s="25"/>
      <c r="P415" s="24"/>
      <c r="Q415" s="1"/>
      <c r="R415" s="1"/>
      <c r="S415" s="24"/>
      <c r="T415" s="1"/>
      <c r="U415" s="1"/>
      <c r="V415" s="24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24"/>
      <c r="G416" s="1"/>
      <c r="H416" s="1"/>
      <c r="I416" s="1"/>
      <c r="J416" s="25"/>
      <c r="K416" s="1"/>
      <c r="L416" s="1"/>
      <c r="M416" s="1"/>
      <c r="N416" s="25"/>
      <c r="O416" s="25"/>
      <c r="P416" s="24"/>
      <c r="Q416" s="1"/>
      <c r="R416" s="1"/>
      <c r="S416" s="24"/>
      <c r="T416" s="1"/>
      <c r="U416" s="1"/>
      <c r="V416" s="24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24"/>
      <c r="G417" s="1"/>
      <c r="H417" s="1"/>
      <c r="I417" s="1"/>
      <c r="J417" s="25"/>
      <c r="K417" s="1"/>
      <c r="L417" s="1"/>
      <c r="M417" s="1"/>
      <c r="N417" s="25"/>
      <c r="O417" s="25"/>
      <c r="P417" s="24"/>
      <c r="Q417" s="1"/>
      <c r="R417" s="1"/>
      <c r="S417" s="24"/>
      <c r="T417" s="1"/>
      <c r="U417" s="1"/>
      <c r="V417" s="24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24"/>
      <c r="G418" s="1"/>
      <c r="H418" s="1"/>
      <c r="I418" s="1"/>
      <c r="J418" s="25"/>
      <c r="K418" s="1"/>
      <c r="L418" s="1"/>
      <c r="M418" s="1"/>
      <c r="N418" s="25"/>
      <c r="O418" s="25"/>
      <c r="P418" s="24"/>
      <c r="Q418" s="1"/>
      <c r="R418" s="1"/>
      <c r="S418" s="24"/>
      <c r="T418" s="1"/>
      <c r="U418" s="1"/>
      <c r="V418" s="24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24"/>
      <c r="G419" s="1"/>
      <c r="H419" s="1"/>
      <c r="I419" s="1"/>
      <c r="J419" s="25"/>
      <c r="K419" s="1"/>
      <c r="L419" s="1"/>
      <c r="M419" s="1"/>
      <c r="N419" s="25"/>
      <c r="O419" s="25"/>
      <c r="P419" s="24"/>
      <c r="Q419" s="1"/>
      <c r="R419" s="1"/>
      <c r="S419" s="24"/>
      <c r="T419" s="1"/>
      <c r="U419" s="1"/>
      <c r="V419" s="24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24"/>
      <c r="G420" s="1"/>
      <c r="H420" s="1"/>
      <c r="I420" s="1"/>
      <c r="J420" s="25"/>
      <c r="K420" s="1"/>
      <c r="L420" s="1"/>
      <c r="M420" s="1"/>
      <c r="N420" s="25"/>
      <c r="O420" s="25"/>
      <c r="P420" s="24"/>
      <c r="Q420" s="1"/>
      <c r="R420" s="1"/>
      <c r="S420" s="24"/>
      <c r="T420" s="1"/>
      <c r="U420" s="1"/>
      <c r="V420" s="24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24"/>
      <c r="G421" s="1"/>
      <c r="H421" s="1"/>
      <c r="I421" s="1"/>
      <c r="J421" s="25"/>
      <c r="K421" s="1"/>
      <c r="L421" s="1"/>
      <c r="M421" s="1"/>
      <c r="N421" s="25"/>
      <c r="O421" s="25"/>
      <c r="P421" s="24"/>
      <c r="Q421" s="1"/>
      <c r="R421" s="1"/>
      <c r="S421" s="24"/>
      <c r="T421" s="1"/>
      <c r="U421" s="1"/>
      <c r="V421" s="24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24"/>
      <c r="G422" s="1"/>
      <c r="H422" s="1"/>
      <c r="I422" s="1"/>
      <c r="J422" s="25"/>
      <c r="K422" s="1"/>
      <c r="L422" s="1"/>
      <c r="M422" s="1"/>
      <c r="N422" s="25"/>
      <c r="O422" s="25"/>
      <c r="P422" s="24"/>
      <c r="Q422" s="1"/>
      <c r="R422" s="1"/>
      <c r="S422" s="24"/>
      <c r="T422" s="1"/>
      <c r="U422" s="1"/>
      <c r="V422" s="24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24"/>
      <c r="G423" s="1"/>
      <c r="H423" s="1"/>
      <c r="I423" s="1"/>
      <c r="J423" s="25"/>
      <c r="K423" s="1"/>
      <c r="L423" s="1"/>
      <c r="M423" s="1"/>
      <c r="N423" s="25"/>
      <c r="O423" s="25"/>
      <c r="P423" s="24"/>
      <c r="Q423" s="1"/>
      <c r="R423" s="1"/>
      <c r="S423" s="24"/>
      <c r="T423" s="1"/>
      <c r="U423" s="1"/>
      <c r="V423" s="24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24"/>
      <c r="G424" s="1"/>
      <c r="H424" s="1"/>
      <c r="I424" s="1"/>
      <c r="J424" s="25"/>
      <c r="K424" s="1"/>
      <c r="L424" s="1"/>
      <c r="M424" s="1"/>
      <c r="N424" s="25"/>
      <c r="O424" s="25"/>
      <c r="P424" s="24"/>
      <c r="Q424" s="1"/>
      <c r="R424" s="1"/>
      <c r="S424" s="24"/>
      <c r="T424" s="1"/>
      <c r="U424" s="1"/>
      <c r="V424" s="24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24"/>
      <c r="G425" s="1"/>
      <c r="H425" s="1"/>
      <c r="I425" s="1"/>
      <c r="J425" s="25"/>
      <c r="K425" s="1"/>
      <c r="L425" s="1"/>
      <c r="M425" s="1"/>
      <c r="N425" s="25"/>
      <c r="O425" s="25"/>
      <c r="P425" s="24"/>
      <c r="Q425" s="1"/>
      <c r="R425" s="1"/>
      <c r="S425" s="24"/>
      <c r="T425" s="1"/>
      <c r="U425" s="1"/>
      <c r="V425" s="24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24"/>
      <c r="G426" s="1"/>
      <c r="H426" s="1"/>
      <c r="I426" s="1"/>
      <c r="J426" s="25"/>
      <c r="K426" s="1"/>
      <c r="L426" s="1"/>
      <c r="M426" s="1"/>
      <c r="N426" s="25"/>
      <c r="O426" s="25"/>
      <c r="P426" s="24"/>
      <c r="Q426" s="1"/>
      <c r="R426" s="1"/>
      <c r="S426" s="24"/>
      <c r="T426" s="1"/>
      <c r="U426" s="1"/>
      <c r="V426" s="24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24"/>
      <c r="G427" s="1"/>
      <c r="H427" s="1"/>
      <c r="I427" s="1"/>
      <c r="J427" s="25"/>
      <c r="K427" s="1"/>
      <c r="L427" s="1"/>
      <c r="M427" s="1"/>
      <c r="N427" s="25"/>
      <c r="O427" s="25"/>
      <c r="P427" s="24"/>
      <c r="Q427" s="1"/>
      <c r="R427" s="1"/>
      <c r="S427" s="24"/>
      <c r="T427" s="1"/>
      <c r="U427" s="1"/>
      <c r="V427" s="24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24"/>
      <c r="G428" s="1"/>
      <c r="H428" s="1"/>
      <c r="I428" s="1"/>
      <c r="J428" s="25"/>
      <c r="K428" s="1"/>
      <c r="L428" s="1"/>
      <c r="M428" s="1"/>
      <c r="N428" s="25"/>
      <c r="O428" s="25"/>
      <c r="P428" s="24"/>
      <c r="Q428" s="1"/>
      <c r="R428" s="1"/>
      <c r="S428" s="24"/>
      <c r="T428" s="1"/>
      <c r="U428" s="1"/>
      <c r="V428" s="24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24"/>
      <c r="G429" s="1"/>
      <c r="H429" s="1"/>
      <c r="I429" s="1"/>
      <c r="J429" s="25"/>
      <c r="K429" s="1"/>
      <c r="L429" s="1"/>
      <c r="M429" s="1"/>
      <c r="N429" s="25"/>
      <c r="O429" s="25"/>
      <c r="P429" s="24"/>
      <c r="Q429" s="1"/>
      <c r="R429" s="1"/>
      <c r="S429" s="24"/>
      <c r="T429" s="1"/>
      <c r="U429" s="1"/>
      <c r="V429" s="24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24"/>
      <c r="G430" s="1"/>
      <c r="H430" s="1"/>
      <c r="I430" s="1"/>
      <c r="J430" s="25"/>
      <c r="K430" s="1"/>
      <c r="L430" s="1"/>
      <c r="M430" s="1"/>
      <c r="N430" s="25"/>
      <c r="O430" s="25"/>
      <c r="P430" s="24"/>
      <c r="Q430" s="1"/>
      <c r="R430" s="1"/>
      <c r="S430" s="24"/>
      <c r="T430" s="1"/>
      <c r="U430" s="1"/>
      <c r="V430" s="24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24"/>
      <c r="G431" s="1"/>
      <c r="H431" s="1"/>
      <c r="I431" s="1"/>
      <c r="J431" s="25"/>
      <c r="K431" s="1"/>
      <c r="L431" s="1"/>
      <c r="M431" s="1"/>
      <c r="N431" s="25"/>
      <c r="O431" s="25"/>
      <c r="P431" s="24"/>
      <c r="Q431" s="1"/>
      <c r="R431" s="1"/>
      <c r="S431" s="24"/>
      <c r="T431" s="1"/>
      <c r="U431" s="1"/>
      <c r="V431" s="24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24"/>
      <c r="G432" s="1"/>
      <c r="H432" s="1"/>
      <c r="I432" s="1"/>
      <c r="J432" s="25"/>
      <c r="K432" s="1"/>
      <c r="L432" s="1"/>
      <c r="M432" s="1"/>
      <c r="N432" s="25"/>
      <c r="O432" s="25"/>
      <c r="P432" s="24"/>
      <c r="Q432" s="1"/>
      <c r="R432" s="1"/>
      <c r="S432" s="24"/>
      <c r="T432" s="1"/>
      <c r="U432" s="1"/>
      <c r="V432" s="24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24"/>
      <c r="G433" s="1"/>
      <c r="H433" s="1"/>
      <c r="I433" s="1"/>
      <c r="J433" s="25"/>
      <c r="K433" s="1"/>
      <c r="L433" s="1"/>
      <c r="M433" s="1"/>
      <c r="N433" s="25"/>
      <c r="O433" s="25"/>
      <c r="P433" s="24"/>
      <c r="Q433" s="1"/>
      <c r="R433" s="1"/>
      <c r="S433" s="24"/>
      <c r="T433" s="1"/>
      <c r="U433" s="1"/>
      <c r="V433" s="24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24"/>
      <c r="G434" s="1"/>
      <c r="H434" s="1"/>
      <c r="I434" s="1"/>
      <c r="J434" s="25"/>
      <c r="K434" s="1"/>
      <c r="L434" s="1"/>
      <c r="M434" s="1"/>
      <c r="N434" s="25"/>
      <c r="O434" s="25"/>
      <c r="P434" s="24"/>
      <c r="Q434" s="1"/>
      <c r="R434" s="1"/>
      <c r="S434" s="24"/>
      <c r="T434" s="1"/>
      <c r="U434" s="1"/>
      <c r="V434" s="24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24"/>
      <c r="G435" s="1"/>
      <c r="H435" s="1"/>
      <c r="I435" s="1"/>
      <c r="J435" s="25"/>
      <c r="K435" s="1"/>
      <c r="L435" s="1"/>
      <c r="M435" s="1"/>
      <c r="N435" s="25"/>
      <c r="O435" s="25"/>
      <c r="P435" s="24"/>
      <c r="Q435" s="1"/>
      <c r="R435" s="1"/>
      <c r="S435" s="24"/>
      <c r="T435" s="1"/>
      <c r="U435" s="1"/>
      <c r="V435" s="24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24"/>
      <c r="G436" s="1"/>
      <c r="H436" s="1"/>
      <c r="I436" s="1"/>
      <c r="J436" s="25"/>
      <c r="K436" s="1"/>
      <c r="L436" s="1"/>
      <c r="M436" s="1"/>
      <c r="N436" s="25"/>
      <c r="O436" s="25"/>
      <c r="P436" s="24"/>
      <c r="Q436" s="1"/>
      <c r="R436" s="1"/>
      <c r="S436" s="24"/>
      <c r="T436" s="1"/>
      <c r="U436" s="1"/>
      <c r="V436" s="24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24"/>
      <c r="G437" s="1"/>
      <c r="H437" s="1"/>
      <c r="I437" s="1"/>
      <c r="J437" s="25"/>
      <c r="K437" s="1"/>
      <c r="L437" s="1"/>
      <c r="M437" s="1"/>
      <c r="N437" s="25"/>
      <c r="O437" s="25"/>
      <c r="P437" s="24"/>
      <c r="Q437" s="1"/>
      <c r="R437" s="1"/>
      <c r="S437" s="24"/>
      <c r="T437" s="1"/>
      <c r="U437" s="1"/>
      <c r="V437" s="24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24"/>
      <c r="G438" s="1"/>
      <c r="H438" s="1"/>
      <c r="I438" s="1"/>
      <c r="J438" s="25"/>
      <c r="K438" s="1"/>
      <c r="L438" s="1"/>
      <c r="M438" s="1"/>
      <c r="N438" s="25"/>
      <c r="O438" s="25"/>
      <c r="P438" s="24"/>
      <c r="Q438" s="1"/>
      <c r="R438" s="1"/>
      <c r="S438" s="24"/>
      <c r="T438" s="1"/>
      <c r="U438" s="1"/>
      <c r="V438" s="24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24"/>
      <c r="G439" s="1"/>
      <c r="H439" s="1"/>
      <c r="I439" s="1"/>
      <c r="J439" s="25"/>
      <c r="K439" s="1"/>
      <c r="L439" s="1"/>
      <c r="M439" s="1"/>
      <c r="N439" s="25"/>
      <c r="O439" s="25"/>
      <c r="P439" s="24"/>
      <c r="Q439" s="1"/>
      <c r="R439" s="1"/>
      <c r="S439" s="24"/>
      <c r="T439" s="1"/>
      <c r="U439" s="1"/>
      <c r="V439" s="24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24"/>
      <c r="G440" s="1"/>
      <c r="H440" s="1"/>
      <c r="I440" s="1"/>
      <c r="J440" s="25"/>
      <c r="K440" s="1"/>
      <c r="L440" s="1"/>
      <c r="M440" s="1"/>
      <c r="N440" s="25"/>
      <c r="O440" s="25"/>
      <c r="P440" s="24"/>
      <c r="Q440" s="1"/>
      <c r="R440" s="1"/>
      <c r="S440" s="24"/>
      <c r="T440" s="1"/>
      <c r="U440" s="1"/>
      <c r="V440" s="24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24"/>
      <c r="G441" s="1"/>
      <c r="H441" s="1"/>
      <c r="I441" s="1"/>
      <c r="J441" s="25"/>
      <c r="K441" s="1"/>
      <c r="L441" s="1"/>
      <c r="M441" s="1"/>
      <c r="N441" s="25"/>
      <c r="O441" s="25"/>
      <c r="P441" s="24"/>
      <c r="Q441" s="1"/>
      <c r="R441" s="1"/>
      <c r="S441" s="24"/>
      <c r="T441" s="1"/>
      <c r="U441" s="1"/>
      <c r="V441" s="24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24"/>
      <c r="G442" s="1"/>
      <c r="H442" s="1"/>
      <c r="I442" s="1"/>
      <c r="J442" s="25"/>
      <c r="K442" s="1"/>
      <c r="L442" s="1"/>
      <c r="M442" s="1"/>
      <c r="N442" s="25"/>
      <c r="O442" s="25"/>
      <c r="P442" s="24"/>
      <c r="Q442" s="1"/>
      <c r="R442" s="1"/>
      <c r="S442" s="24"/>
      <c r="T442" s="1"/>
      <c r="U442" s="1"/>
      <c r="V442" s="24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24"/>
      <c r="G443" s="1"/>
      <c r="H443" s="1"/>
      <c r="I443" s="1"/>
      <c r="J443" s="25"/>
      <c r="K443" s="1"/>
      <c r="L443" s="1"/>
      <c r="M443" s="1"/>
      <c r="N443" s="25"/>
      <c r="O443" s="25"/>
      <c r="P443" s="24"/>
      <c r="Q443" s="1"/>
      <c r="R443" s="1"/>
      <c r="S443" s="24"/>
      <c r="T443" s="1"/>
      <c r="U443" s="1"/>
      <c r="V443" s="24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24"/>
      <c r="G444" s="1"/>
      <c r="H444" s="1"/>
      <c r="I444" s="1"/>
      <c r="J444" s="25"/>
      <c r="K444" s="1"/>
      <c r="L444" s="1"/>
      <c r="M444" s="1"/>
      <c r="N444" s="25"/>
      <c r="O444" s="25"/>
      <c r="P444" s="24"/>
      <c r="Q444" s="1"/>
      <c r="R444" s="1"/>
      <c r="S444" s="24"/>
      <c r="T444" s="1"/>
      <c r="U444" s="1"/>
      <c r="V444" s="24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24"/>
      <c r="G445" s="1"/>
      <c r="H445" s="1"/>
      <c r="I445" s="1"/>
      <c r="J445" s="25"/>
      <c r="K445" s="1"/>
      <c r="L445" s="1"/>
      <c r="M445" s="1"/>
      <c r="N445" s="25"/>
      <c r="O445" s="25"/>
      <c r="P445" s="24"/>
      <c r="Q445" s="1"/>
      <c r="R445" s="1"/>
      <c r="S445" s="24"/>
      <c r="T445" s="1"/>
      <c r="U445" s="1"/>
      <c r="V445" s="24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24"/>
      <c r="G446" s="1"/>
      <c r="H446" s="1"/>
      <c r="I446" s="1"/>
      <c r="J446" s="25"/>
      <c r="K446" s="1"/>
      <c r="L446" s="1"/>
      <c r="M446" s="1"/>
      <c r="N446" s="25"/>
      <c r="O446" s="25"/>
      <c r="P446" s="24"/>
      <c r="Q446" s="1"/>
      <c r="R446" s="1"/>
      <c r="S446" s="24"/>
      <c r="T446" s="1"/>
      <c r="U446" s="1"/>
      <c r="V446" s="24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24"/>
      <c r="G447" s="1"/>
      <c r="H447" s="1"/>
      <c r="I447" s="1"/>
      <c r="J447" s="25"/>
      <c r="K447" s="1"/>
      <c r="L447" s="1"/>
      <c r="M447" s="1"/>
      <c r="N447" s="25"/>
      <c r="O447" s="25"/>
      <c r="P447" s="24"/>
      <c r="Q447" s="1"/>
      <c r="R447" s="1"/>
      <c r="S447" s="24"/>
      <c r="T447" s="1"/>
      <c r="U447" s="1"/>
      <c r="V447" s="24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24"/>
      <c r="G448" s="1"/>
      <c r="H448" s="1"/>
      <c r="I448" s="1"/>
      <c r="J448" s="25"/>
      <c r="K448" s="1"/>
      <c r="L448" s="1"/>
      <c r="M448" s="1"/>
      <c r="N448" s="25"/>
      <c r="O448" s="25"/>
      <c r="P448" s="24"/>
      <c r="Q448" s="1"/>
      <c r="R448" s="1"/>
      <c r="S448" s="24"/>
      <c r="T448" s="1"/>
      <c r="U448" s="1"/>
      <c r="V448" s="24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24"/>
      <c r="G449" s="1"/>
      <c r="H449" s="1"/>
      <c r="I449" s="1"/>
      <c r="J449" s="25"/>
      <c r="K449" s="1"/>
      <c r="L449" s="1"/>
      <c r="M449" s="1"/>
      <c r="N449" s="25"/>
      <c r="O449" s="25"/>
      <c r="P449" s="24"/>
      <c r="Q449" s="1"/>
      <c r="R449" s="1"/>
      <c r="S449" s="24"/>
      <c r="T449" s="1"/>
      <c r="U449" s="1"/>
      <c r="V449" s="24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24"/>
      <c r="G450" s="1"/>
      <c r="H450" s="1"/>
      <c r="I450" s="1"/>
      <c r="J450" s="25"/>
      <c r="K450" s="1"/>
      <c r="L450" s="1"/>
      <c r="M450" s="1"/>
      <c r="N450" s="25"/>
      <c r="O450" s="25"/>
      <c r="P450" s="24"/>
      <c r="Q450" s="1"/>
      <c r="R450" s="1"/>
      <c r="S450" s="24"/>
      <c r="T450" s="1"/>
      <c r="U450" s="1"/>
      <c r="V450" s="24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24"/>
      <c r="G451" s="1"/>
      <c r="H451" s="1"/>
      <c r="I451" s="1"/>
      <c r="J451" s="25"/>
      <c r="K451" s="1"/>
      <c r="L451" s="1"/>
      <c r="M451" s="1"/>
      <c r="N451" s="25"/>
      <c r="O451" s="25"/>
      <c r="P451" s="24"/>
      <c r="Q451" s="1"/>
      <c r="R451" s="1"/>
      <c r="S451" s="24"/>
      <c r="T451" s="1"/>
      <c r="U451" s="1"/>
      <c r="V451" s="24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24"/>
      <c r="G452" s="1"/>
      <c r="H452" s="1"/>
      <c r="I452" s="1"/>
      <c r="J452" s="25"/>
      <c r="K452" s="1"/>
      <c r="L452" s="1"/>
      <c r="M452" s="1"/>
      <c r="N452" s="25"/>
      <c r="O452" s="25"/>
      <c r="P452" s="24"/>
      <c r="Q452" s="1"/>
      <c r="R452" s="1"/>
      <c r="S452" s="24"/>
      <c r="T452" s="1"/>
      <c r="U452" s="1"/>
      <c r="V452" s="24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24"/>
      <c r="G453" s="1"/>
      <c r="H453" s="1"/>
      <c r="I453" s="1"/>
      <c r="J453" s="25"/>
      <c r="K453" s="1"/>
      <c r="L453" s="1"/>
      <c r="M453" s="1"/>
      <c r="N453" s="25"/>
      <c r="O453" s="25"/>
      <c r="P453" s="24"/>
      <c r="Q453" s="1"/>
      <c r="R453" s="1"/>
      <c r="S453" s="24"/>
      <c r="T453" s="1"/>
      <c r="U453" s="1"/>
      <c r="V453" s="24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24"/>
      <c r="G454" s="1"/>
      <c r="H454" s="1"/>
      <c r="I454" s="1"/>
      <c r="J454" s="25"/>
      <c r="K454" s="1"/>
      <c r="L454" s="1"/>
      <c r="M454" s="1"/>
      <c r="N454" s="25"/>
      <c r="O454" s="25"/>
      <c r="P454" s="24"/>
      <c r="Q454" s="1"/>
      <c r="R454" s="1"/>
      <c r="S454" s="24"/>
      <c r="T454" s="1"/>
      <c r="U454" s="1"/>
      <c r="V454" s="24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24"/>
      <c r="G455" s="1"/>
      <c r="H455" s="1"/>
      <c r="I455" s="1"/>
      <c r="J455" s="25"/>
      <c r="K455" s="1"/>
      <c r="L455" s="1"/>
      <c r="M455" s="1"/>
      <c r="N455" s="25"/>
      <c r="O455" s="25"/>
      <c r="P455" s="24"/>
      <c r="Q455" s="1"/>
      <c r="R455" s="1"/>
      <c r="S455" s="24"/>
      <c r="T455" s="1"/>
      <c r="U455" s="1"/>
      <c r="V455" s="24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24"/>
      <c r="G456" s="1"/>
      <c r="H456" s="1"/>
      <c r="I456" s="1"/>
      <c r="J456" s="25"/>
      <c r="K456" s="1"/>
      <c r="L456" s="1"/>
      <c r="M456" s="1"/>
      <c r="N456" s="25"/>
      <c r="O456" s="25"/>
      <c r="P456" s="24"/>
      <c r="Q456" s="1"/>
      <c r="R456" s="1"/>
      <c r="S456" s="24"/>
      <c r="T456" s="1"/>
      <c r="U456" s="1"/>
      <c r="V456" s="24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24"/>
      <c r="G457" s="1"/>
      <c r="H457" s="1"/>
      <c r="I457" s="1"/>
      <c r="J457" s="25"/>
      <c r="K457" s="1"/>
      <c r="L457" s="1"/>
      <c r="M457" s="1"/>
      <c r="N457" s="25"/>
      <c r="O457" s="25"/>
      <c r="P457" s="24"/>
      <c r="Q457" s="1"/>
      <c r="R457" s="1"/>
      <c r="S457" s="24"/>
      <c r="T457" s="1"/>
      <c r="U457" s="1"/>
      <c r="V457" s="24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24"/>
      <c r="G458" s="1"/>
      <c r="H458" s="1"/>
      <c r="I458" s="1"/>
      <c r="J458" s="25"/>
      <c r="K458" s="1"/>
      <c r="L458" s="1"/>
      <c r="M458" s="1"/>
      <c r="N458" s="25"/>
      <c r="O458" s="25"/>
      <c r="P458" s="24"/>
      <c r="Q458" s="1"/>
      <c r="R458" s="1"/>
      <c r="S458" s="24"/>
      <c r="T458" s="1"/>
      <c r="U458" s="1"/>
      <c r="V458" s="24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24"/>
      <c r="G459" s="1"/>
      <c r="H459" s="1"/>
      <c r="I459" s="1"/>
      <c r="J459" s="25"/>
      <c r="K459" s="1"/>
      <c r="L459" s="1"/>
      <c r="M459" s="1"/>
      <c r="N459" s="25"/>
      <c r="O459" s="25"/>
      <c r="P459" s="24"/>
      <c r="Q459" s="1"/>
      <c r="R459" s="1"/>
      <c r="S459" s="24"/>
      <c r="T459" s="1"/>
      <c r="U459" s="1"/>
      <c r="V459" s="24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24"/>
      <c r="G460" s="1"/>
      <c r="H460" s="1"/>
      <c r="I460" s="1"/>
      <c r="J460" s="25"/>
      <c r="K460" s="1"/>
      <c r="L460" s="1"/>
      <c r="M460" s="1"/>
      <c r="N460" s="25"/>
      <c r="O460" s="25"/>
      <c r="P460" s="24"/>
      <c r="Q460" s="1"/>
      <c r="R460" s="1"/>
      <c r="S460" s="24"/>
      <c r="T460" s="1"/>
      <c r="U460" s="1"/>
      <c r="V460" s="24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24"/>
      <c r="G461" s="1"/>
      <c r="H461" s="1"/>
      <c r="I461" s="1"/>
      <c r="J461" s="25"/>
      <c r="K461" s="1"/>
      <c r="L461" s="1"/>
      <c r="M461" s="1"/>
      <c r="N461" s="25"/>
      <c r="O461" s="25"/>
      <c r="P461" s="24"/>
      <c r="Q461" s="1"/>
      <c r="R461" s="1"/>
      <c r="S461" s="24"/>
      <c r="T461" s="1"/>
      <c r="U461" s="1"/>
      <c r="V461" s="24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24"/>
      <c r="G462" s="1"/>
      <c r="H462" s="1"/>
      <c r="I462" s="1"/>
      <c r="J462" s="25"/>
      <c r="K462" s="1"/>
      <c r="L462" s="1"/>
      <c r="M462" s="1"/>
      <c r="N462" s="25"/>
      <c r="O462" s="25"/>
      <c r="P462" s="24"/>
      <c r="Q462" s="1"/>
      <c r="R462" s="1"/>
      <c r="S462" s="24"/>
      <c r="T462" s="1"/>
      <c r="U462" s="1"/>
      <c r="V462" s="24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24"/>
      <c r="G463" s="1"/>
      <c r="H463" s="1"/>
      <c r="I463" s="1"/>
      <c r="J463" s="25"/>
      <c r="K463" s="1"/>
      <c r="L463" s="1"/>
      <c r="M463" s="1"/>
      <c r="N463" s="25"/>
      <c r="O463" s="25"/>
      <c r="P463" s="24"/>
      <c r="Q463" s="1"/>
      <c r="R463" s="1"/>
      <c r="S463" s="24"/>
      <c r="T463" s="1"/>
      <c r="U463" s="1"/>
      <c r="V463" s="24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24"/>
      <c r="G464" s="1"/>
      <c r="H464" s="1"/>
      <c r="I464" s="1"/>
      <c r="J464" s="25"/>
      <c r="K464" s="1"/>
      <c r="L464" s="1"/>
      <c r="M464" s="1"/>
      <c r="N464" s="25"/>
      <c r="O464" s="25"/>
      <c r="P464" s="24"/>
      <c r="Q464" s="1"/>
      <c r="R464" s="1"/>
      <c r="S464" s="24"/>
      <c r="T464" s="1"/>
      <c r="U464" s="1"/>
      <c r="V464" s="24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24"/>
      <c r="G465" s="1"/>
      <c r="H465" s="1"/>
      <c r="I465" s="1"/>
      <c r="J465" s="25"/>
      <c r="K465" s="1"/>
      <c r="L465" s="1"/>
      <c r="M465" s="1"/>
      <c r="N465" s="25"/>
      <c r="O465" s="25"/>
      <c r="P465" s="24"/>
      <c r="Q465" s="1"/>
      <c r="R465" s="1"/>
      <c r="S465" s="24"/>
      <c r="T465" s="1"/>
      <c r="U465" s="1"/>
      <c r="V465" s="24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24"/>
      <c r="G466" s="1"/>
      <c r="H466" s="1"/>
      <c r="I466" s="1"/>
      <c r="J466" s="25"/>
      <c r="K466" s="1"/>
      <c r="L466" s="1"/>
      <c r="M466" s="1"/>
      <c r="N466" s="25"/>
      <c r="O466" s="25"/>
      <c r="P466" s="24"/>
      <c r="Q466" s="1"/>
      <c r="R466" s="1"/>
      <c r="S466" s="24"/>
      <c r="T466" s="1"/>
      <c r="U466" s="1"/>
      <c r="V466" s="24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24"/>
      <c r="G467" s="1"/>
      <c r="H467" s="1"/>
      <c r="I467" s="1"/>
      <c r="J467" s="25"/>
      <c r="K467" s="1"/>
      <c r="L467" s="1"/>
      <c r="M467" s="1"/>
      <c r="N467" s="25"/>
      <c r="O467" s="25"/>
      <c r="P467" s="24"/>
      <c r="Q467" s="1"/>
      <c r="R467" s="1"/>
      <c r="S467" s="24"/>
      <c r="T467" s="1"/>
      <c r="U467" s="1"/>
      <c r="V467" s="24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24"/>
      <c r="G468" s="1"/>
      <c r="H468" s="1"/>
      <c r="I468" s="1"/>
      <c r="J468" s="25"/>
      <c r="K468" s="1"/>
      <c r="L468" s="1"/>
      <c r="M468" s="1"/>
      <c r="N468" s="25"/>
      <c r="O468" s="25"/>
      <c r="P468" s="24"/>
      <c r="Q468" s="1"/>
      <c r="R468" s="1"/>
      <c r="S468" s="24"/>
      <c r="T468" s="1"/>
      <c r="U468" s="1"/>
      <c r="V468" s="24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24"/>
      <c r="G469" s="1"/>
      <c r="H469" s="1"/>
      <c r="I469" s="1"/>
      <c r="J469" s="25"/>
      <c r="K469" s="1"/>
      <c r="L469" s="1"/>
      <c r="M469" s="1"/>
      <c r="N469" s="25"/>
      <c r="O469" s="25"/>
      <c r="P469" s="24"/>
      <c r="Q469" s="1"/>
      <c r="R469" s="1"/>
      <c r="S469" s="24"/>
      <c r="T469" s="1"/>
      <c r="U469" s="1"/>
      <c r="V469" s="24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24"/>
      <c r="G470" s="1"/>
      <c r="H470" s="1"/>
      <c r="I470" s="1"/>
      <c r="J470" s="25"/>
      <c r="K470" s="1"/>
      <c r="L470" s="1"/>
      <c r="M470" s="1"/>
      <c r="N470" s="25"/>
      <c r="O470" s="25"/>
      <c r="P470" s="24"/>
      <c r="Q470" s="1"/>
      <c r="R470" s="1"/>
      <c r="S470" s="24"/>
      <c r="T470" s="1"/>
      <c r="U470" s="1"/>
      <c r="V470" s="24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24"/>
      <c r="G471" s="1"/>
      <c r="H471" s="1"/>
      <c r="I471" s="1"/>
      <c r="J471" s="25"/>
      <c r="K471" s="1"/>
      <c r="L471" s="1"/>
      <c r="M471" s="1"/>
      <c r="N471" s="25"/>
      <c r="O471" s="25"/>
      <c r="P471" s="24"/>
      <c r="Q471" s="1"/>
      <c r="R471" s="1"/>
      <c r="S471" s="24"/>
      <c r="T471" s="1"/>
      <c r="U471" s="1"/>
      <c r="V471" s="24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24"/>
      <c r="G472" s="1"/>
      <c r="H472" s="1"/>
      <c r="I472" s="1"/>
      <c r="J472" s="25"/>
      <c r="K472" s="1"/>
      <c r="L472" s="1"/>
      <c r="M472" s="1"/>
      <c r="N472" s="25"/>
      <c r="O472" s="25"/>
      <c r="P472" s="24"/>
      <c r="Q472" s="1"/>
      <c r="R472" s="1"/>
      <c r="S472" s="24"/>
      <c r="T472" s="1"/>
      <c r="U472" s="1"/>
      <c r="V472" s="24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24"/>
      <c r="G473" s="1"/>
      <c r="H473" s="1"/>
      <c r="I473" s="1"/>
      <c r="J473" s="25"/>
      <c r="K473" s="1"/>
      <c r="L473" s="1"/>
      <c r="M473" s="1"/>
      <c r="N473" s="25"/>
      <c r="O473" s="25"/>
      <c r="P473" s="24"/>
      <c r="Q473" s="1"/>
      <c r="R473" s="1"/>
      <c r="S473" s="24"/>
      <c r="T473" s="1"/>
      <c r="U473" s="1"/>
      <c r="V473" s="24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24"/>
      <c r="G474" s="1"/>
      <c r="H474" s="1"/>
      <c r="I474" s="1"/>
      <c r="J474" s="25"/>
      <c r="K474" s="1"/>
      <c r="L474" s="1"/>
      <c r="M474" s="1"/>
      <c r="N474" s="25"/>
      <c r="O474" s="25"/>
      <c r="P474" s="24"/>
      <c r="Q474" s="1"/>
      <c r="R474" s="1"/>
      <c r="S474" s="24"/>
      <c r="T474" s="1"/>
      <c r="U474" s="1"/>
      <c r="V474" s="24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24"/>
      <c r="G475" s="1"/>
      <c r="H475" s="1"/>
      <c r="I475" s="1"/>
      <c r="J475" s="25"/>
      <c r="K475" s="1"/>
      <c r="L475" s="1"/>
      <c r="M475" s="1"/>
      <c r="N475" s="25"/>
      <c r="O475" s="25"/>
      <c r="P475" s="24"/>
      <c r="Q475" s="1"/>
      <c r="R475" s="1"/>
      <c r="S475" s="24"/>
      <c r="T475" s="1"/>
      <c r="U475" s="1"/>
      <c r="V475" s="24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24"/>
      <c r="G476" s="1"/>
      <c r="H476" s="1"/>
      <c r="I476" s="1"/>
      <c r="J476" s="25"/>
      <c r="K476" s="1"/>
      <c r="L476" s="1"/>
      <c r="M476" s="1"/>
      <c r="N476" s="25"/>
      <c r="O476" s="25"/>
      <c r="P476" s="24"/>
      <c r="Q476" s="1"/>
      <c r="R476" s="1"/>
      <c r="S476" s="24"/>
      <c r="T476" s="1"/>
      <c r="U476" s="1"/>
      <c r="V476" s="24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24"/>
      <c r="G477" s="1"/>
      <c r="H477" s="1"/>
      <c r="I477" s="1"/>
      <c r="J477" s="25"/>
      <c r="K477" s="1"/>
      <c r="L477" s="1"/>
      <c r="M477" s="1"/>
      <c r="N477" s="25"/>
      <c r="O477" s="25"/>
      <c r="P477" s="24"/>
      <c r="Q477" s="1"/>
      <c r="R477" s="1"/>
      <c r="S477" s="24"/>
      <c r="T477" s="1"/>
      <c r="U477" s="1"/>
      <c r="V477" s="24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24"/>
      <c r="G478" s="1"/>
      <c r="H478" s="1"/>
      <c r="I478" s="1"/>
      <c r="J478" s="25"/>
      <c r="K478" s="1"/>
      <c r="L478" s="1"/>
      <c r="M478" s="1"/>
      <c r="N478" s="25"/>
      <c r="O478" s="25"/>
      <c r="P478" s="24"/>
      <c r="Q478" s="1"/>
      <c r="R478" s="1"/>
      <c r="S478" s="24"/>
      <c r="T478" s="1"/>
      <c r="U478" s="1"/>
      <c r="V478" s="24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24"/>
      <c r="G479" s="1"/>
      <c r="H479" s="1"/>
      <c r="I479" s="1"/>
      <c r="J479" s="25"/>
      <c r="K479" s="1"/>
      <c r="L479" s="1"/>
      <c r="M479" s="1"/>
      <c r="N479" s="25"/>
      <c r="O479" s="25"/>
      <c r="P479" s="24"/>
      <c r="Q479" s="1"/>
      <c r="R479" s="1"/>
      <c r="S479" s="24"/>
      <c r="T479" s="1"/>
      <c r="U479" s="1"/>
      <c r="V479" s="24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24"/>
      <c r="G480" s="1"/>
      <c r="H480" s="1"/>
      <c r="I480" s="1"/>
      <c r="J480" s="25"/>
      <c r="K480" s="1"/>
      <c r="L480" s="1"/>
      <c r="M480" s="1"/>
      <c r="N480" s="25"/>
      <c r="O480" s="25"/>
      <c r="P480" s="24"/>
      <c r="Q480" s="1"/>
      <c r="R480" s="1"/>
      <c r="S480" s="24"/>
      <c r="T480" s="1"/>
      <c r="U480" s="1"/>
      <c r="V480" s="24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24"/>
      <c r="G481" s="1"/>
      <c r="H481" s="1"/>
      <c r="I481" s="1"/>
      <c r="J481" s="25"/>
      <c r="K481" s="1"/>
      <c r="L481" s="1"/>
      <c r="M481" s="1"/>
      <c r="N481" s="25"/>
      <c r="O481" s="25"/>
      <c r="P481" s="24"/>
      <c r="Q481" s="1"/>
      <c r="R481" s="1"/>
      <c r="S481" s="24"/>
      <c r="T481" s="1"/>
      <c r="U481" s="1"/>
      <c r="V481" s="24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24"/>
      <c r="G482" s="1"/>
      <c r="H482" s="1"/>
      <c r="I482" s="1"/>
      <c r="J482" s="25"/>
      <c r="K482" s="1"/>
      <c r="L482" s="1"/>
      <c r="M482" s="1"/>
      <c r="N482" s="25"/>
      <c r="O482" s="25"/>
      <c r="P482" s="24"/>
      <c r="Q482" s="1"/>
      <c r="R482" s="1"/>
      <c r="S482" s="24"/>
      <c r="T482" s="1"/>
      <c r="U482" s="1"/>
      <c r="V482" s="24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24"/>
      <c r="G483" s="1"/>
      <c r="H483" s="1"/>
      <c r="I483" s="1"/>
      <c r="J483" s="25"/>
      <c r="K483" s="1"/>
      <c r="L483" s="1"/>
      <c r="M483" s="1"/>
      <c r="N483" s="25"/>
      <c r="O483" s="25"/>
      <c r="P483" s="24"/>
      <c r="Q483" s="1"/>
      <c r="R483" s="1"/>
      <c r="S483" s="24"/>
      <c r="T483" s="1"/>
      <c r="U483" s="1"/>
      <c r="V483" s="24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24"/>
      <c r="G484" s="1"/>
      <c r="H484" s="1"/>
      <c r="I484" s="1"/>
      <c r="J484" s="25"/>
      <c r="K484" s="1"/>
      <c r="L484" s="1"/>
      <c r="M484" s="1"/>
      <c r="N484" s="25"/>
      <c r="O484" s="25"/>
      <c r="P484" s="24"/>
      <c r="Q484" s="1"/>
      <c r="R484" s="1"/>
      <c r="S484" s="24"/>
      <c r="T484" s="1"/>
      <c r="U484" s="1"/>
      <c r="V484" s="24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24"/>
      <c r="G485" s="1"/>
      <c r="H485" s="1"/>
      <c r="I485" s="1"/>
      <c r="J485" s="25"/>
      <c r="K485" s="1"/>
      <c r="L485" s="1"/>
      <c r="M485" s="1"/>
      <c r="N485" s="25"/>
      <c r="O485" s="25"/>
      <c r="P485" s="24"/>
      <c r="Q485" s="1"/>
      <c r="R485" s="1"/>
      <c r="S485" s="24"/>
      <c r="T485" s="1"/>
      <c r="U485" s="1"/>
      <c r="V485" s="24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24"/>
      <c r="G486" s="1"/>
      <c r="H486" s="1"/>
      <c r="I486" s="1"/>
      <c r="J486" s="25"/>
      <c r="K486" s="1"/>
      <c r="L486" s="1"/>
      <c r="M486" s="1"/>
      <c r="N486" s="25"/>
      <c r="O486" s="25"/>
      <c r="P486" s="24"/>
      <c r="Q486" s="1"/>
      <c r="R486" s="1"/>
      <c r="S486" s="24"/>
      <c r="T486" s="1"/>
      <c r="U486" s="1"/>
      <c r="V486" s="24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24"/>
      <c r="G487" s="1"/>
      <c r="H487" s="1"/>
      <c r="I487" s="1"/>
      <c r="J487" s="25"/>
      <c r="K487" s="1"/>
      <c r="L487" s="1"/>
      <c r="M487" s="1"/>
      <c r="N487" s="25"/>
      <c r="O487" s="25"/>
      <c r="P487" s="24"/>
      <c r="Q487" s="1"/>
      <c r="R487" s="1"/>
      <c r="S487" s="24"/>
      <c r="T487" s="1"/>
      <c r="U487" s="1"/>
      <c r="V487" s="24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24"/>
      <c r="G488" s="1"/>
      <c r="H488" s="1"/>
      <c r="I488" s="1"/>
      <c r="J488" s="25"/>
      <c r="K488" s="1"/>
      <c r="L488" s="1"/>
      <c r="M488" s="1"/>
      <c r="N488" s="25"/>
      <c r="O488" s="25"/>
      <c r="P488" s="24"/>
      <c r="Q488" s="1"/>
      <c r="R488" s="1"/>
      <c r="S488" s="24"/>
      <c r="T488" s="1"/>
      <c r="U488" s="1"/>
      <c r="V488" s="24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24"/>
      <c r="G489" s="1"/>
      <c r="H489" s="1"/>
      <c r="I489" s="1"/>
      <c r="J489" s="25"/>
      <c r="K489" s="1"/>
      <c r="L489" s="1"/>
      <c r="M489" s="1"/>
      <c r="N489" s="25"/>
      <c r="O489" s="25"/>
      <c r="P489" s="24"/>
      <c r="Q489" s="1"/>
      <c r="R489" s="1"/>
      <c r="S489" s="24"/>
      <c r="T489" s="1"/>
      <c r="U489" s="1"/>
      <c r="V489" s="24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24"/>
      <c r="G490" s="1"/>
      <c r="H490" s="1"/>
      <c r="I490" s="1"/>
      <c r="J490" s="25"/>
      <c r="K490" s="1"/>
      <c r="L490" s="1"/>
      <c r="M490" s="1"/>
      <c r="N490" s="25"/>
      <c r="O490" s="25"/>
      <c r="P490" s="24"/>
      <c r="Q490" s="1"/>
      <c r="R490" s="1"/>
      <c r="S490" s="24"/>
      <c r="T490" s="1"/>
      <c r="U490" s="1"/>
      <c r="V490" s="24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24"/>
      <c r="G491" s="1"/>
      <c r="H491" s="1"/>
      <c r="I491" s="1"/>
      <c r="J491" s="25"/>
      <c r="K491" s="1"/>
      <c r="L491" s="1"/>
      <c r="M491" s="1"/>
      <c r="N491" s="25"/>
      <c r="O491" s="25"/>
      <c r="P491" s="24"/>
      <c r="Q491" s="1"/>
      <c r="R491" s="1"/>
      <c r="S491" s="24"/>
      <c r="T491" s="1"/>
      <c r="U491" s="1"/>
      <c r="V491" s="24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24"/>
      <c r="G492" s="1"/>
      <c r="H492" s="1"/>
      <c r="I492" s="1"/>
      <c r="J492" s="25"/>
      <c r="K492" s="1"/>
      <c r="L492" s="1"/>
      <c r="M492" s="1"/>
      <c r="N492" s="25"/>
      <c r="O492" s="25"/>
      <c r="P492" s="24"/>
      <c r="Q492" s="1"/>
      <c r="R492" s="1"/>
      <c r="S492" s="24"/>
      <c r="T492" s="1"/>
      <c r="U492" s="1"/>
      <c r="V492" s="24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24"/>
      <c r="G493" s="1"/>
      <c r="H493" s="1"/>
      <c r="I493" s="1"/>
      <c r="J493" s="25"/>
      <c r="K493" s="1"/>
      <c r="L493" s="1"/>
      <c r="M493" s="1"/>
      <c r="N493" s="25"/>
      <c r="O493" s="25"/>
      <c r="P493" s="24"/>
      <c r="Q493" s="1"/>
      <c r="R493" s="1"/>
      <c r="S493" s="24"/>
      <c r="T493" s="1"/>
      <c r="U493" s="1"/>
      <c r="V493" s="24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24"/>
      <c r="G494" s="1"/>
      <c r="H494" s="1"/>
      <c r="I494" s="1"/>
      <c r="J494" s="25"/>
      <c r="K494" s="1"/>
      <c r="L494" s="1"/>
      <c r="M494" s="1"/>
      <c r="N494" s="25"/>
      <c r="O494" s="25"/>
      <c r="P494" s="24"/>
      <c r="Q494" s="1"/>
      <c r="R494" s="1"/>
      <c r="S494" s="24"/>
      <c r="T494" s="1"/>
      <c r="U494" s="1"/>
      <c r="V494" s="24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24"/>
      <c r="G495" s="1"/>
      <c r="H495" s="1"/>
      <c r="I495" s="1"/>
      <c r="J495" s="25"/>
      <c r="K495" s="1"/>
      <c r="L495" s="1"/>
      <c r="M495" s="1"/>
      <c r="N495" s="25"/>
      <c r="O495" s="25"/>
      <c r="P495" s="24"/>
      <c r="Q495" s="1"/>
      <c r="R495" s="1"/>
      <c r="S495" s="24"/>
      <c r="T495" s="1"/>
      <c r="U495" s="1"/>
      <c r="V495" s="24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24"/>
      <c r="G496" s="1"/>
      <c r="H496" s="1"/>
      <c r="I496" s="1"/>
      <c r="J496" s="25"/>
      <c r="K496" s="1"/>
      <c r="L496" s="1"/>
      <c r="M496" s="1"/>
      <c r="N496" s="25"/>
      <c r="O496" s="25"/>
      <c r="P496" s="24"/>
      <c r="Q496" s="1"/>
      <c r="R496" s="1"/>
      <c r="S496" s="24"/>
      <c r="T496" s="1"/>
      <c r="U496" s="1"/>
      <c r="V496" s="24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24"/>
      <c r="G497" s="1"/>
      <c r="H497" s="1"/>
      <c r="I497" s="1"/>
      <c r="J497" s="25"/>
      <c r="K497" s="1"/>
      <c r="L497" s="1"/>
      <c r="M497" s="1"/>
      <c r="N497" s="25"/>
      <c r="O497" s="25"/>
      <c r="P497" s="24"/>
      <c r="Q497" s="1"/>
      <c r="R497" s="1"/>
      <c r="S497" s="24"/>
      <c r="T497" s="1"/>
      <c r="U497" s="1"/>
      <c r="V497" s="24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24"/>
      <c r="G498" s="1"/>
      <c r="H498" s="1"/>
      <c r="I498" s="1"/>
      <c r="J498" s="25"/>
      <c r="K498" s="1"/>
      <c r="L498" s="1"/>
      <c r="M498" s="1"/>
      <c r="N498" s="25"/>
      <c r="O498" s="25"/>
      <c r="P498" s="24"/>
      <c r="Q498" s="1"/>
      <c r="R498" s="1"/>
      <c r="S498" s="24"/>
      <c r="T498" s="1"/>
      <c r="U498" s="1"/>
      <c r="V498" s="24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24"/>
      <c r="G499" s="1"/>
      <c r="H499" s="1"/>
      <c r="I499" s="1"/>
      <c r="J499" s="25"/>
      <c r="K499" s="1"/>
      <c r="L499" s="1"/>
      <c r="M499" s="1"/>
      <c r="N499" s="25"/>
      <c r="O499" s="25"/>
      <c r="P499" s="24"/>
      <c r="Q499" s="1"/>
      <c r="R499" s="1"/>
      <c r="S499" s="24"/>
      <c r="T499" s="1"/>
      <c r="U499" s="1"/>
      <c r="V499" s="24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24"/>
      <c r="G500" s="1"/>
      <c r="H500" s="1"/>
      <c r="I500" s="1"/>
      <c r="J500" s="25"/>
      <c r="K500" s="1"/>
      <c r="L500" s="1"/>
      <c r="M500" s="1"/>
      <c r="N500" s="25"/>
      <c r="O500" s="25"/>
      <c r="P500" s="24"/>
      <c r="Q500" s="1"/>
      <c r="R500" s="1"/>
      <c r="S500" s="24"/>
      <c r="T500" s="1"/>
      <c r="U500" s="1"/>
      <c r="V500" s="24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24"/>
      <c r="G501" s="1"/>
      <c r="H501" s="1"/>
      <c r="I501" s="1"/>
      <c r="J501" s="25"/>
      <c r="K501" s="1"/>
      <c r="L501" s="1"/>
      <c r="M501" s="1"/>
      <c r="N501" s="25"/>
      <c r="O501" s="25"/>
      <c r="P501" s="24"/>
      <c r="Q501" s="1"/>
      <c r="R501" s="1"/>
      <c r="S501" s="24"/>
      <c r="T501" s="1"/>
      <c r="U501" s="1"/>
      <c r="V501" s="24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24"/>
      <c r="G502" s="1"/>
      <c r="H502" s="1"/>
      <c r="I502" s="1"/>
      <c r="J502" s="25"/>
      <c r="K502" s="1"/>
      <c r="L502" s="1"/>
      <c r="M502" s="1"/>
      <c r="N502" s="25"/>
      <c r="O502" s="25"/>
      <c r="P502" s="24"/>
      <c r="Q502" s="1"/>
      <c r="R502" s="1"/>
      <c r="S502" s="24"/>
      <c r="T502" s="1"/>
      <c r="U502" s="1"/>
      <c r="V502" s="24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24"/>
      <c r="G503" s="1"/>
      <c r="H503" s="1"/>
      <c r="I503" s="1"/>
      <c r="J503" s="25"/>
      <c r="K503" s="1"/>
      <c r="L503" s="1"/>
      <c r="M503" s="1"/>
      <c r="N503" s="25"/>
      <c r="O503" s="25"/>
      <c r="P503" s="24"/>
      <c r="Q503" s="1"/>
      <c r="R503" s="1"/>
      <c r="S503" s="24"/>
      <c r="T503" s="1"/>
      <c r="U503" s="1"/>
      <c r="V503" s="24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24"/>
      <c r="G504" s="1"/>
      <c r="H504" s="1"/>
      <c r="I504" s="1"/>
      <c r="J504" s="25"/>
      <c r="K504" s="1"/>
      <c r="L504" s="1"/>
      <c r="M504" s="1"/>
      <c r="N504" s="25"/>
      <c r="O504" s="25"/>
      <c r="P504" s="24"/>
      <c r="Q504" s="1"/>
      <c r="R504" s="1"/>
      <c r="S504" s="24"/>
      <c r="T504" s="1"/>
      <c r="U504" s="1"/>
      <c r="V504" s="24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24"/>
      <c r="G505" s="1"/>
      <c r="H505" s="1"/>
      <c r="I505" s="1"/>
      <c r="J505" s="25"/>
      <c r="K505" s="1"/>
      <c r="L505" s="1"/>
      <c r="M505" s="1"/>
      <c r="N505" s="25"/>
      <c r="O505" s="25"/>
      <c r="P505" s="24"/>
      <c r="Q505" s="1"/>
      <c r="R505" s="1"/>
      <c r="S505" s="24"/>
      <c r="T505" s="1"/>
      <c r="U505" s="1"/>
      <c r="V505" s="24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24"/>
      <c r="G506" s="1"/>
      <c r="H506" s="1"/>
      <c r="I506" s="1"/>
      <c r="J506" s="25"/>
      <c r="K506" s="1"/>
      <c r="L506" s="1"/>
      <c r="M506" s="1"/>
      <c r="N506" s="25"/>
      <c r="O506" s="25"/>
      <c r="P506" s="24"/>
      <c r="Q506" s="1"/>
      <c r="R506" s="1"/>
      <c r="S506" s="24"/>
      <c r="T506" s="1"/>
      <c r="U506" s="1"/>
      <c r="V506" s="24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24"/>
      <c r="G507" s="1"/>
      <c r="H507" s="1"/>
      <c r="I507" s="1"/>
      <c r="J507" s="25"/>
      <c r="K507" s="1"/>
      <c r="L507" s="1"/>
      <c r="M507" s="1"/>
      <c r="N507" s="25"/>
      <c r="O507" s="25"/>
      <c r="P507" s="24"/>
      <c r="Q507" s="1"/>
      <c r="R507" s="1"/>
      <c r="S507" s="24"/>
      <c r="T507" s="1"/>
      <c r="U507" s="1"/>
      <c r="V507" s="24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24"/>
      <c r="G508" s="1"/>
      <c r="H508" s="1"/>
      <c r="I508" s="1"/>
      <c r="J508" s="25"/>
      <c r="K508" s="1"/>
      <c r="L508" s="1"/>
      <c r="M508" s="1"/>
      <c r="N508" s="25"/>
      <c r="O508" s="25"/>
      <c r="P508" s="24"/>
      <c r="Q508" s="1"/>
      <c r="R508" s="1"/>
      <c r="S508" s="24"/>
      <c r="T508" s="1"/>
      <c r="U508" s="1"/>
      <c r="V508" s="24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24"/>
      <c r="G509" s="1"/>
      <c r="H509" s="1"/>
      <c r="I509" s="1"/>
      <c r="J509" s="25"/>
      <c r="K509" s="1"/>
      <c r="L509" s="1"/>
      <c r="M509" s="1"/>
      <c r="N509" s="25"/>
      <c r="O509" s="25"/>
      <c r="P509" s="24"/>
      <c r="Q509" s="1"/>
      <c r="R509" s="1"/>
      <c r="S509" s="24"/>
      <c r="T509" s="1"/>
      <c r="U509" s="1"/>
      <c r="V509" s="24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24"/>
      <c r="G510" s="1"/>
      <c r="H510" s="1"/>
      <c r="I510" s="1"/>
      <c r="J510" s="25"/>
      <c r="K510" s="1"/>
      <c r="L510" s="1"/>
      <c r="M510" s="1"/>
      <c r="N510" s="25"/>
      <c r="O510" s="25"/>
      <c r="P510" s="24"/>
      <c r="Q510" s="1"/>
      <c r="R510" s="1"/>
      <c r="S510" s="24"/>
      <c r="T510" s="1"/>
      <c r="U510" s="1"/>
      <c r="V510" s="24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24"/>
      <c r="G511" s="1"/>
      <c r="H511" s="1"/>
      <c r="I511" s="1"/>
      <c r="J511" s="25"/>
      <c r="K511" s="1"/>
      <c r="L511" s="1"/>
      <c r="M511" s="1"/>
      <c r="N511" s="25"/>
      <c r="O511" s="25"/>
      <c r="P511" s="24"/>
      <c r="Q511" s="1"/>
      <c r="R511" s="1"/>
      <c r="S511" s="24"/>
      <c r="T511" s="1"/>
      <c r="U511" s="1"/>
      <c r="V511" s="24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24"/>
      <c r="G512" s="1"/>
      <c r="H512" s="1"/>
      <c r="I512" s="1"/>
      <c r="J512" s="25"/>
      <c r="K512" s="1"/>
      <c r="L512" s="1"/>
      <c r="M512" s="1"/>
      <c r="N512" s="25"/>
      <c r="O512" s="25"/>
      <c r="P512" s="24"/>
      <c r="Q512" s="1"/>
      <c r="R512" s="1"/>
      <c r="S512" s="24"/>
      <c r="T512" s="1"/>
      <c r="U512" s="1"/>
      <c r="V512" s="24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24"/>
      <c r="G513" s="1"/>
      <c r="H513" s="1"/>
      <c r="I513" s="1"/>
      <c r="J513" s="25"/>
      <c r="K513" s="1"/>
      <c r="L513" s="1"/>
      <c r="M513" s="1"/>
      <c r="N513" s="25"/>
      <c r="O513" s="25"/>
      <c r="P513" s="24"/>
      <c r="Q513" s="1"/>
      <c r="R513" s="1"/>
      <c r="S513" s="24"/>
      <c r="T513" s="1"/>
      <c r="U513" s="1"/>
      <c r="V513" s="24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24"/>
      <c r="G514" s="1"/>
      <c r="H514" s="1"/>
      <c r="I514" s="1"/>
      <c r="J514" s="25"/>
      <c r="K514" s="1"/>
      <c r="L514" s="1"/>
      <c r="M514" s="1"/>
      <c r="N514" s="25"/>
      <c r="O514" s="25"/>
      <c r="P514" s="24"/>
      <c r="Q514" s="1"/>
      <c r="R514" s="1"/>
      <c r="S514" s="24"/>
      <c r="T514" s="1"/>
      <c r="U514" s="1"/>
      <c r="V514" s="24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24"/>
      <c r="G515" s="1"/>
      <c r="H515" s="1"/>
      <c r="I515" s="1"/>
      <c r="J515" s="25"/>
      <c r="K515" s="1"/>
      <c r="L515" s="1"/>
      <c r="M515" s="1"/>
      <c r="N515" s="25"/>
      <c r="O515" s="25"/>
      <c r="P515" s="24"/>
      <c r="Q515" s="1"/>
      <c r="R515" s="1"/>
      <c r="S515" s="24"/>
      <c r="T515" s="1"/>
      <c r="U515" s="1"/>
      <c r="V515" s="24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24"/>
      <c r="G516" s="1"/>
      <c r="H516" s="1"/>
      <c r="I516" s="1"/>
      <c r="J516" s="25"/>
      <c r="K516" s="1"/>
      <c r="L516" s="1"/>
      <c r="M516" s="1"/>
      <c r="N516" s="25"/>
      <c r="O516" s="25"/>
      <c r="P516" s="24"/>
      <c r="Q516" s="1"/>
      <c r="R516" s="1"/>
      <c r="S516" s="24"/>
      <c r="T516" s="1"/>
      <c r="U516" s="1"/>
      <c r="V516" s="24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24"/>
      <c r="G517" s="1"/>
      <c r="H517" s="1"/>
      <c r="I517" s="1"/>
      <c r="J517" s="25"/>
      <c r="K517" s="1"/>
      <c r="L517" s="1"/>
      <c r="M517" s="1"/>
      <c r="N517" s="25"/>
      <c r="O517" s="25"/>
      <c r="P517" s="24"/>
      <c r="Q517" s="1"/>
      <c r="R517" s="1"/>
      <c r="S517" s="24"/>
      <c r="T517" s="1"/>
      <c r="U517" s="1"/>
      <c r="V517" s="24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24"/>
      <c r="G518" s="1"/>
      <c r="H518" s="1"/>
      <c r="I518" s="1"/>
      <c r="J518" s="25"/>
      <c r="K518" s="1"/>
      <c r="L518" s="1"/>
      <c r="M518" s="1"/>
      <c r="N518" s="25"/>
      <c r="O518" s="25"/>
      <c r="P518" s="24"/>
      <c r="Q518" s="1"/>
      <c r="R518" s="1"/>
      <c r="S518" s="24"/>
      <c r="T518" s="1"/>
      <c r="U518" s="1"/>
      <c r="V518" s="24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24"/>
      <c r="G519" s="1"/>
      <c r="H519" s="1"/>
      <c r="I519" s="1"/>
      <c r="J519" s="25"/>
      <c r="K519" s="1"/>
      <c r="L519" s="1"/>
      <c r="M519" s="1"/>
      <c r="N519" s="25"/>
      <c r="O519" s="25"/>
      <c r="P519" s="24"/>
      <c r="Q519" s="1"/>
      <c r="R519" s="1"/>
      <c r="S519" s="24"/>
      <c r="T519" s="1"/>
      <c r="U519" s="1"/>
      <c r="V519" s="24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24"/>
      <c r="G520" s="1"/>
      <c r="H520" s="1"/>
      <c r="I520" s="1"/>
      <c r="J520" s="25"/>
      <c r="K520" s="1"/>
      <c r="L520" s="1"/>
      <c r="M520" s="1"/>
      <c r="N520" s="25"/>
      <c r="O520" s="25"/>
      <c r="P520" s="24"/>
      <c r="Q520" s="1"/>
      <c r="R520" s="1"/>
      <c r="S520" s="24"/>
      <c r="T520" s="1"/>
      <c r="U520" s="1"/>
      <c r="V520" s="24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24"/>
      <c r="G521" s="1"/>
      <c r="H521" s="1"/>
      <c r="I521" s="1"/>
      <c r="J521" s="25"/>
      <c r="K521" s="1"/>
      <c r="L521" s="1"/>
      <c r="M521" s="1"/>
      <c r="N521" s="25"/>
      <c r="O521" s="25"/>
      <c r="P521" s="24"/>
      <c r="Q521" s="1"/>
      <c r="R521" s="1"/>
      <c r="S521" s="24"/>
      <c r="T521" s="1"/>
      <c r="U521" s="1"/>
      <c r="V521" s="24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24"/>
      <c r="G522" s="1"/>
      <c r="H522" s="1"/>
      <c r="I522" s="1"/>
      <c r="J522" s="25"/>
      <c r="K522" s="1"/>
      <c r="L522" s="1"/>
      <c r="M522" s="1"/>
      <c r="N522" s="25"/>
      <c r="O522" s="25"/>
      <c r="P522" s="24"/>
      <c r="Q522" s="1"/>
      <c r="R522" s="1"/>
      <c r="S522" s="24"/>
      <c r="T522" s="1"/>
      <c r="U522" s="1"/>
      <c r="V522" s="24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24"/>
      <c r="G523" s="1"/>
      <c r="H523" s="1"/>
      <c r="I523" s="1"/>
      <c r="J523" s="25"/>
      <c r="K523" s="1"/>
      <c r="L523" s="1"/>
      <c r="M523" s="1"/>
      <c r="N523" s="25"/>
      <c r="O523" s="25"/>
      <c r="P523" s="24"/>
      <c r="Q523" s="1"/>
      <c r="R523" s="1"/>
      <c r="S523" s="24"/>
      <c r="T523" s="1"/>
      <c r="U523" s="1"/>
      <c r="V523" s="24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24"/>
      <c r="G524" s="1"/>
      <c r="H524" s="1"/>
      <c r="I524" s="1"/>
      <c r="J524" s="25"/>
      <c r="K524" s="1"/>
      <c r="L524" s="1"/>
      <c r="M524" s="1"/>
      <c r="N524" s="25"/>
      <c r="O524" s="25"/>
      <c r="P524" s="24"/>
      <c r="Q524" s="1"/>
      <c r="R524" s="1"/>
      <c r="S524" s="24"/>
      <c r="T524" s="1"/>
      <c r="U524" s="1"/>
      <c r="V524" s="24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24"/>
      <c r="G525" s="1"/>
      <c r="H525" s="1"/>
      <c r="I525" s="1"/>
      <c r="J525" s="25"/>
      <c r="K525" s="1"/>
      <c r="L525" s="1"/>
      <c r="M525" s="1"/>
      <c r="N525" s="25"/>
      <c r="O525" s="25"/>
      <c r="P525" s="24"/>
      <c r="Q525" s="1"/>
      <c r="R525" s="1"/>
      <c r="S525" s="24"/>
      <c r="T525" s="1"/>
      <c r="U525" s="1"/>
      <c r="V525" s="24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24"/>
      <c r="G526" s="1"/>
      <c r="H526" s="1"/>
      <c r="I526" s="1"/>
      <c r="J526" s="25"/>
      <c r="K526" s="1"/>
      <c r="L526" s="1"/>
      <c r="M526" s="1"/>
      <c r="N526" s="25"/>
      <c r="O526" s="25"/>
      <c r="P526" s="24"/>
      <c r="Q526" s="1"/>
      <c r="R526" s="1"/>
      <c r="S526" s="24"/>
      <c r="T526" s="1"/>
      <c r="U526" s="1"/>
      <c r="V526" s="24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24"/>
      <c r="G527" s="1"/>
      <c r="H527" s="1"/>
      <c r="I527" s="1"/>
      <c r="J527" s="25"/>
      <c r="K527" s="1"/>
      <c r="L527" s="1"/>
      <c r="M527" s="1"/>
      <c r="N527" s="25"/>
      <c r="O527" s="25"/>
      <c r="P527" s="24"/>
      <c r="Q527" s="1"/>
      <c r="R527" s="1"/>
      <c r="S527" s="24"/>
      <c r="T527" s="1"/>
      <c r="U527" s="1"/>
      <c r="V527" s="24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24"/>
      <c r="G528" s="1"/>
      <c r="H528" s="1"/>
      <c r="I528" s="1"/>
      <c r="J528" s="25"/>
      <c r="K528" s="1"/>
      <c r="L528" s="1"/>
      <c r="M528" s="1"/>
      <c r="N528" s="25"/>
      <c r="O528" s="25"/>
      <c r="P528" s="24"/>
      <c r="Q528" s="1"/>
      <c r="R528" s="1"/>
      <c r="S528" s="24"/>
      <c r="T528" s="1"/>
      <c r="U528" s="1"/>
      <c r="V528" s="24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24"/>
      <c r="G529" s="1"/>
      <c r="H529" s="1"/>
      <c r="I529" s="1"/>
      <c r="J529" s="25"/>
      <c r="K529" s="1"/>
      <c r="L529" s="1"/>
      <c r="M529" s="1"/>
      <c r="N529" s="25"/>
      <c r="O529" s="25"/>
      <c r="P529" s="24"/>
      <c r="Q529" s="1"/>
      <c r="R529" s="1"/>
      <c r="S529" s="24"/>
      <c r="T529" s="1"/>
      <c r="U529" s="1"/>
      <c r="V529" s="24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24"/>
      <c r="G530" s="1"/>
      <c r="H530" s="1"/>
      <c r="I530" s="1"/>
      <c r="J530" s="25"/>
      <c r="K530" s="1"/>
      <c r="L530" s="1"/>
      <c r="M530" s="1"/>
      <c r="N530" s="25"/>
      <c r="O530" s="25"/>
      <c r="P530" s="24"/>
      <c r="Q530" s="1"/>
      <c r="R530" s="1"/>
      <c r="S530" s="24"/>
      <c r="T530" s="1"/>
      <c r="U530" s="1"/>
      <c r="V530" s="24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24"/>
      <c r="G531" s="1"/>
      <c r="H531" s="1"/>
      <c r="I531" s="1"/>
      <c r="J531" s="25"/>
      <c r="K531" s="1"/>
      <c r="L531" s="1"/>
      <c r="M531" s="1"/>
      <c r="N531" s="25"/>
      <c r="O531" s="25"/>
      <c r="P531" s="24"/>
      <c r="Q531" s="1"/>
      <c r="R531" s="1"/>
      <c r="S531" s="24"/>
      <c r="T531" s="1"/>
      <c r="U531" s="1"/>
      <c r="V531" s="24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24"/>
      <c r="G532" s="1"/>
      <c r="H532" s="1"/>
      <c r="I532" s="1"/>
      <c r="J532" s="25"/>
      <c r="K532" s="1"/>
      <c r="L532" s="1"/>
      <c r="M532" s="1"/>
      <c r="N532" s="25"/>
      <c r="O532" s="25"/>
      <c r="P532" s="24"/>
      <c r="Q532" s="1"/>
      <c r="R532" s="1"/>
      <c r="S532" s="24"/>
      <c r="T532" s="1"/>
      <c r="U532" s="1"/>
      <c r="V532" s="24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24"/>
      <c r="G533" s="1"/>
      <c r="H533" s="1"/>
      <c r="I533" s="1"/>
      <c r="J533" s="25"/>
      <c r="K533" s="1"/>
      <c r="L533" s="1"/>
      <c r="M533" s="1"/>
      <c r="N533" s="25"/>
      <c r="O533" s="25"/>
      <c r="P533" s="24"/>
      <c r="Q533" s="1"/>
      <c r="R533" s="1"/>
      <c r="S533" s="24"/>
      <c r="T533" s="1"/>
      <c r="U533" s="1"/>
      <c r="V533" s="24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24"/>
      <c r="G534" s="1"/>
      <c r="H534" s="1"/>
      <c r="I534" s="1"/>
      <c r="J534" s="25"/>
      <c r="K534" s="1"/>
      <c r="L534" s="1"/>
      <c r="M534" s="1"/>
      <c r="N534" s="25"/>
      <c r="O534" s="25"/>
      <c r="P534" s="24"/>
      <c r="Q534" s="1"/>
      <c r="R534" s="1"/>
      <c r="S534" s="24"/>
      <c r="T534" s="1"/>
      <c r="U534" s="1"/>
      <c r="V534" s="24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24"/>
      <c r="G535" s="1"/>
      <c r="H535" s="1"/>
      <c r="I535" s="1"/>
      <c r="J535" s="25"/>
      <c r="K535" s="1"/>
      <c r="L535" s="1"/>
      <c r="M535" s="1"/>
      <c r="N535" s="25"/>
      <c r="O535" s="25"/>
      <c r="P535" s="24"/>
      <c r="Q535" s="1"/>
      <c r="R535" s="1"/>
      <c r="S535" s="24"/>
      <c r="T535" s="1"/>
      <c r="U535" s="1"/>
      <c r="V535" s="24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24"/>
      <c r="G536" s="1"/>
      <c r="H536" s="1"/>
      <c r="I536" s="1"/>
      <c r="J536" s="25"/>
      <c r="K536" s="1"/>
      <c r="L536" s="1"/>
      <c r="M536" s="1"/>
      <c r="N536" s="25"/>
      <c r="O536" s="25"/>
      <c r="P536" s="24"/>
      <c r="Q536" s="1"/>
      <c r="R536" s="1"/>
      <c r="S536" s="24"/>
      <c r="T536" s="1"/>
      <c r="U536" s="1"/>
      <c r="V536" s="24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24"/>
      <c r="G537" s="1"/>
      <c r="H537" s="1"/>
      <c r="I537" s="1"/>
      <c r="J537" s="25"/>
      <c r="K537" s="1"/>
      <c r="L537" s="1"/>
      <c r="M537" s="1"/>
      <c r="N537" s="25"/>
      <c r="O537" s="25"/>
      <c r="P537" s="24"/>
      <c r="Q537" s="1"/>
      <c r="R537" s="1"/>
      <c r="S537" s="24"/>
      <c r="T537" s="1"/>
      <c r="U537" s="1"/>
      <c r="V537" s="24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24"/>
      <c r="G538" s="1"/>
      <c r="H538" s="1"/>
      <c r="I538" s="1"/>
      <c r="J538" s="25"/>
      <c r="K538" s="1"/>
      <c r="L538" s="1"/>
      <c r="M538" s="1"/>
      <c r="N538" s="25"/>
      <c r="O538" s="25"/>
      <c r="P538" s="24"/>
      <c r="Q538" s="1"/>
      <c r="R538" s="1"/>
      <c r="S538" s="24"/>
      <c r="T538" s="1"/>
      <c r="U538" s="1"/>
      <c r="V538" s="24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24"/>
      <c r="G539" s="1"/>
      <c r="H539" s="1"/>
      <c r="I539" s="1"/>
      <c r="J539" s="25"/>
      <c r="K539" s="1"/>
      <c r="L539" s="1"/>
      <c r="M539" s="1"/>
      <c r="N539" s="25"/>
      <c r="O539" s="25"/>
      <c r="P539" s="24"/>
      <c r="Q539" s="1"/>
      <c r="R539" s="1"/>
      <c r="S539" s="24"/>
      <c r="T539" s="1"/>
      <c r="U539" s="1"/>
      <c r="V539" s="24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24"/>
      <c r="G540" s="1"/>
      <c r="H540" s="1"/>
      <c r="I540" s="1"/>
      <c r="J540" s="25"/>
      <c r="K540" s="1"/>
      <c r="L540" s="1"/>
      <c r="M540" s="1"/>
      <c r="N540" s="25"/>
      <c r="O540" s="25"/>
      <c r="P540" s="24"/>
      <c r="Q540" s="1"/>
      <c r="R540" s="1"/>
      <c r="S540" s="24"/>
      <c r="T540" s="1"/>
      <c r="U540" s="1"/>
      <c r="V540" s="24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24"/>
      <c r="G541" s="1"/>
      <c r="H541" s="1"/>
      <c r="I541" s="1"/>
      <c r="J541" s="25"/>
      <c r="K541" s="1"/>
      <c r="L541" s="1"/>
      <c r="M541" s="1"/>
      <c r="N541" s="25"/>
      <c r="O541" s="25"/>
      <c r="P541" s="24"/>
      <c r="Q541" s="1"/>
      <c r="R541" s="1"/>
      <c r="S541" s="24"/>
      <c r="T541" s="1"/>
      <c r="U541" s="1"/>
      <c r="V541" s="24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24"/>
      <c r="G542" s="1"/>
      <c r="H542" s="1"/>
      <c r="I542" s="1"/>
      <c r="J542" s="25"/>
      <c r="K542" s="1"/>
      <c r="L542" s="1"/>
      <c r="M542" s="1"/>
      <c r="N542" s="25"/>
      <c r="O542" s="25"/>
      <c r="P542" s="24"/>
      <c r="Q542" s="1"/>
      <c r="R542" s="1"/>
      <c r="S542" s="24"/>
      <c r="T542" s="1"/>
      <c r="U542" s="1"/>
      <c r="V542" s="24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24"/>
      <c r="G543" s="1"/>
      <c r="H543" s="1"/>
      <c r="I543" s="1"/>
      <c r="J543" s="25"/>
      <c r="K543" s="1"/>
      <c r="L543" s="1"/>
      <c r="M543" s="1"/>
      <c r="N543" s="25"/>
      <c r="O543" s="25"/>
      <c r="P543" s="24"/>
      <c r="Q543" s="1"/>
      <c r="R543" s="1"/>
      <c r="S543" s="24"/>
      <c r="T543" s="1"/>
      <c r="U543" s="1"/>
      <c r="V543" s="24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24"/>
      <c r="G544" s="1"/>
      <c r="H544" s="1"/>
      <c r="I544" s="1"/>
      <c r="J544" s="25"/>
      <c r="K544" s="1"/>
      <c r="L544" s="1"/>
      <c r="M544" s="1"/>
      <c r="N544" s="25"/>
      <c r="O544" s="25"/>
      <c r="P544" s="24"/>
      <c r="Q544" s="1"/>
      <c r="R544" s="1"/>
      <c r="S544" s="24"/>
      <c r="T544" s="1"/>
      <c r="U544" s="1"/>
      <c r="V544" s="24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24"/>
      <c r="G545" s="1"/>
      <c r="H545" s="1"/>
      <c r="I545" s="1"/>
      <c r="J545" s="25"/>
      <c r="K545" s="1"/>
      <c r="L545" s="1"/>
      <c r="M545" s="1"/>
      <c r="N545" s="25"/>
      <c r="O545" s="25"/>
      <c r="P545" s="24"/>
      <c r="Q545" s="1"/>
      <c r="R545" s="1"/>
      <c r="S545" s="24"/>
      <c r="T545" s="1"/>
      <c r="U545" s="1"/>
      <c r="V545" s="24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24"/>
      <c r="G546" s="1"/>
      <c r="H546" s="1"/>
      <c r="I546" s="1"/>
      <c r="J546" s="25"/>
      <c r="K546" s="1"/>
      <c r="L546" s="1"/>
      <c r="M546" s="1"/>
      <c r="N546" s="25"/>
      <c r="O546" s="25"/>
      <c r="P546" s="24"/>
      <c r="Q546" s="1"/>
      <c r="R546" s="1"/>
      <c r="S546" s="24"/>
      <c r="T546" s="1"/>
      <c r="U546" s="1"/>
      <c r="V546" s="24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24"/>
      <c r="G547" s="1"/>
      <c r="H547" s="1"/>
      <c r="I547" s="1"/>
      <c r="J547" s="25"/>
      <c r="K547" s="1"/>
      <c r="L547" s="1"/>
      <c r="M547" s="1"/>
      <c r="N547" s="25"/>
      <c r="O547" s="25"/>
      <c r="P547" s="24"/>
      <c r="Q547" s="1"/>
      <c r="R547" s="1"/>
      <c r="S547" s="24"/>
      <c r="T547" s="1"/>
      <c r="U547" s="1"/>
      <c r="V547" s="24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24"/>
      <c r="G548" s="1"/>
      <c r="H548" s="1"/>
      <c r="I548" s="1"/>
      <c r="J548" s="25"/>
      <c r="K548" s="1"/>
      <c r="L548" s="1"/>
      <c r="M548" s="1"/>
      <c r="N548" s="25"/>
      <c r="O548" s="25"/>
      <c r="P548" s="24"/>
      <c r="Q548" s="1"/>
      <c r="R548" s="1"/>
      <c r="S548" s="24"/>
      <c r="T548" s="1"/>
      <c r="U548" s="1"/>
      <c r="V548" s="24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24"/>
      <c r="G549" s="1"/>
      <c r="H549" s="1"/>
      <c r="I549" s="1"/>
      <c r="J549" s="25"/>
      <c r="K549" s="1"/>
      <c r="L549" s="1"/>
      <c r="M549" s="1"/>
      <c r="N549" s="25"/>
      <c r="O549" s="25"/>
      <c r="P549" s="24"/>
      <c r="Q549" s="1"/>
      <c r="R549" s="1"/>
      <c r="S549" s="24"/>
      <c r="T549" s="1"/>
      <c r="U549" s="1"/>
      <c r="V549" s="24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24"/>
      <c r="G550" s="1"/>
      <c r="H550" s="1"/>
      <c r="I550" s="1"/>
      <c r="J550" s="25"/>
      <c r="K550" s="1"/>
      <c r="L550" s="1"/>
      <c r="M550" s="1"/>
      <c r="N550" s="25"/>
      <c r="O550" s="25"/>
      <c r="P550" s="24"/>
      <c r="Q550" s="1"/>
      <c r="R550" s="1"/>
      <c r="S550" s="24"/>
      <c r="T550" s="1"/>
      <c r="U550" s="1"/>
      <c r="V550" s="24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24"/>
      <c r="G551" s="1"/>
      <c r="H551" s="1"/>
      <c r="I551" s="1"/>
      <c r="J551" s="25"/>
      <c r="K551" s="1"/>
      <c r="L551" s="1"/>
      <c r="M551" s="1"/>
      <c r="N551" s="25"/>
      <c r="O551" s="25"/>
      <c r="P551" s="24"/>
      <c r="Q551" s="1"/>
      <c r="R551" s="1"/>
      <c r="S551" s="24"/>
      <c r="T551" s="1"/>
      <c r="U551" s="1"/>
      <c r="V551" s="24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24"/>
      <c r="G552" s="1"/>
      <c r="H552" s="1"/>
      <c r="I552" s="1"/>
      <c r="J552" s="25"/>
      <c r="K552" s="1"/>
      <c r="L552" s="1"/>
      <c r="M552" s="1"/>
      <c r="N552" s="25"/>
      <c r="O552" s="25"/>
      <c r="P552" s="24"/>
      <c r="Q552" s="1"/>
      <c r="R552" s="1"/>
      <c r="S552" s="24"/>
      <c r="T552" s="1"/>
      <c r="U552" s="1"/>
      <c r="V552" s="24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24"/>
      <c r="G553" s="1"/>
      <c r="H553" s="1"/>
      <c r="I553" s="1"/>
      <c r="J553" s="25"/>
      <c r="K553" s="1"/>
      <c r="L553" s="1"/>
      <c r="M553" s="1"/>
      <c r="N553" s="25"/>
      <c r="O553" s="25"/>
      <c r="P553" s="24"/>
      <c r="Q553" s="1"/>
      <c r="R553" s="1"/>
      <c r="S553" s="24"/>
      <c r="T553" s="1"/>
      <c r="U553" s="1"/>
      <c r="V553" s="24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24"/>
      <c r="G554" s="1"/>
      <c r="H554" s="1"/>
      <c r="I554" s="1"/>
      <c r="J554" s="25"/>
      <c r="K554" s="1"/>
      <c r="L554" s="1"/>
      <c r="M554" s="1"/>
      <c r="N554" s="25"/>
      <c r="O554" s="25"/>
      <c r="P554" s="24"/>
      <c r="Q554" s="1"/>
      <c r="R554" s="1"/>
      <c r="S554" s="24"/>
      <c r="T554" s="1"/>
      <c r="U554" s="1"/>
      <c r="V554" s="24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24"/>
      <c r="G555" s="1"/>
      <c r="H555" s="1"/>
      <c r="I555" s="1"/>
      <c r="J555" s="25"/>
      <c r="K555" s="1"/>
      <c r="L555" s="1"/>
      <c r="M555" s="1"/>
      <c r="N555" s="25"/>
      <c r="O555" s="25"/>
      <c r="P555" s="24"/>
      <c r="Q555" s="1"/>
      <c r="R555" s="1"/>
      <c r="S555" s="24"/>
      <c r="T555" s="1"/>
      <c r="U555" s="1"/>
      <c r="V555" s="24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24"/>
      <c r="G556" s="1"/>
      <c r="H556" s="1"/>
      <c r="I556" s="1"/>
      <c r="J556" s="25"/>
      <c r="K556" s="1"/>
      <c r="L556" s="1"/>
      <c r="M556" s="1"/>
      <c r="N556" s="25"/>
      <c r="O556" s="25"/>
      <c r="P556" s="24"/>
      <c r="Q556" s="1"/>
      <c r="R556" s="1"/>
      <c r="S556" s="24"/>
      <c r="T556" s="1"/>
      <c r="U556" s="1"/>
      <c r="V556" s="24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24"/>
      <c r="G557" s="1"/>
      <c r="H557" s="1"/>
      <c r="I557" s="1"/>
      <c r="J557" s="25"/>
      <c r="K557" s="1"/>
      <c r="L557" s="1"/>
      <c r="M557" s="1"/>
      <c r="N557" s="25"/>
      <c r="O557" s="25"/>
      <c r="P557" s="24"/>
      <c r="Q557" s="1"/>
      <c r="R557" s="1"/>
      <c r="S557" s="24"/>
      <c r="T557" s="1"/>
      <c r="U557" s="1"/>
      <c r="V557" s="24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24"/>
      <c r="G558" s="1"/>
      <c r="H558" s="1"/>
      <c r="I558" s="1"/>
      <c r="J558" s="25"/>
      <c r="K558" s="1"/>
      <c r="L558" s="1"/>
      <c r="M558" s="1"/>
      <c r="N558" s="25"/>
      <c r="O558" s="25"/>
      <c r="P558" s="24"/>
      <c r="Q558" s="1"/>
      <c r="R558" s="1"/>
      <c r="S558" s="24"/>
      <c r="T558" s="1"/>
      <c r="U558" s="1"/>
      <c r="V558" s="24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24"/>
      <c r="G559" s="1"/>
      <c r="H559" s="1"/>
      <c r="I559" s="1"/>
      <c r="J559" s="25"/>
      <c r="K559" s="1"/>
      <c r="L559" s="1"/>
      <c r="M559" s="1"/>
      <c r="N559" s="25"/>
      <c r="O559" s="25"/>
      <c r="P559" s="24"/>
      <c r="Q559" s="1"/>
      <c r="R559" s="1"/>
      <c r="S559" s="24"/>
      <c r="T559" s="1"/>
      <c r="U559" s="1"/>
      <c r="V559" s="24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24"/>
      <c r="G560" s="1"/>
      <c r="H560" s="1"/>
      <c r="I560" s="1"/>
      <c r="J560" s="25"/>
      <c r="K560" s="1"/>
      <c r="L560" s="1"/>
      <c r="M560" s="1"/>
      <c r="N560" s="25"/>
      <c r="O560" s="25"/>
      <c r="P560" s="24"/>
      <c r="Q560" s="1"/>
      <c r="R560" s="1"/>
      <c r="S560" s="24"/>
      <c r="T560" s="1"/>
      <c r="U560" s="1"/>
      <c r="V560" s="24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24"/>
      <c r="G561" s="1"/>
      <c r="H561" s="1"/>
      <c r="I561" s="1"/>
      <c r="J561" s="25"/>
      <c r="K561" s="1"/>
      <c r="L561" s="1"/>
      <c r="M561" s="1"/>
      <c r="N561" s="25"/>
      <c r="O561" s="25"/>
      <c r="P561" s="24"/>
      <c r="Q561" s="1"/>
      <c r="R561" s="1"/>
      <c r="S561" s="24"/>
      <c r="T561" s="1"/>
      <c r="U561" s="1"/>
      <c r="V561" s="24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24"/>
      <c r="G562" s="1"/>
      <c r="H562" s="1"/>
      <c r="I562" s="1"/>
      <c r="J562" s="25"/>
      <c r="K562" s="1"/>
      <c r="L562" s="1"/>
      <c r="M562" s="1"/>
      <c r="N562" s="25"/>
      <c r="O562" s="25"/>
      <c r="P562" s="24"/>
      <c r="Q562" s="1"/>
      <c r="R562" s="1"/>
      <c r="S562" s="24"/>
      <c r="T562" s="1"/>
      <c r="U562" s="1"/>
      <c r="V562" s="24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24"/>
      <c r="G563" s="1"/>
      <c r="H563" s="1"/>
      <c r="I563" s="1"/>
      <c r="J563" s="25"/>
      <c r="K563" s="1"/>
      <c r="L563" s="1"/>
      <c r="M563" s="1"/>
      <c r="N563" s="25"/>
      <c r="O563" s="25"/>
      <c r="P563" s="24"/>
      <c r="Q563" s="1"/>
      <c r="R563" s="1"/>
      <c r="S563" s="24"/>
      <c r="T563" s="1"/>
      <c r="U563" s="1"/>
      <c r="V563" s="24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24"/>
      <c r="G564" s="1"/>
      <c r="H564" s="1"/>
      <c r="I564" s="1"/>
      <c r="J564" s="25"/>
      <c r="K564" s="1"/>
      <c r="L564" s="1"/>
      <c r="M564" s="1"/>
      <c r="N564" s="25"/>
      <c r="O564" s="25"/>
      <c r="P564" s="24"/>
      <c r="Q564" s="1"/>
      <c r="R564" s="1"/>
      <c r="S564" s="24"/>
      <c r="T564" s="1"/>
      <c r="U564" s="1"/>
      <c r="V564" s="24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24"/>
      <c r="G565" s="1"/>
      <c r="H565" s="1"/>
      <c r="I565" s="1"/>
      <c r="J565" s="25"/>
      <c r="K565" s="1"/>
      <c r="L565" s="1"/>
      <c r="M565" s="1"/>
      <c r="N565" s="25"/>
      <c r="O565" s="25"/>
      <c r="P565" s="24"/>
      <c r="Q565" s="1"/>
      <c r="R565" s="1"/>
      <c r="S565" s="24"/>
      <c r="T565" s="1"/>
      <c r="U565" s="1"/>
      <c r="V565" s="24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24"/>
      <c r="G566" s="1"/>
      <c r="H566" s="1"/>
      <c r="I566" s="1"/>
      <c r="J566" s="25"/>
      <c r="K566" s="1"/>
      <c r="L566" s="1"/>
      <c r="M566" s="1"/>
      <c r="N566" s="25"/>
      <c r="O566" s="25"/>
      <c r="P566" s="24"/>
      <c r="Q566" s="1"/>
      <c r="R566" s="1"/>
      <c r="S566" s="24"/>
      <c r="T566" s="1"/>
      <c r="U566" s="1"/>
      <c r="V566" s="24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24"/>
      <c r="G567" s="1"/>
      <c r="H567" s="1"/>
      <c r="I567" s="1"/>
      <c r="J567" s="25"/>
      <c r="K567" s="1"/>
      <c r="L567" s="1"/>
      <c r="M567" s="1"/>
      <c r="N567" s="25"/>
      <c r="O567" s="25"/>
      <c r="P567" s="24"/>
      <c r="Q567" s="1"/>
      <c r="R567" s="1"/>
      <c r="S567" s="24"/>
      <c r="T567" s="1"/>
      <c r="U567" s="1"/>
      <c r="V567" s="24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24"/>
      <c r="G568" s="1"/>
      <c r="H568" s="1"/>
      <c r="I568" s="1"/>
      <c r="J568" s="25"/>
      <c r="K568" s="1"/>
      <c r="L568" s="1"/>
      <c r="M568" s="1"/>
      <c r="N568" s="25"/>
      <c r="O568" s="25"/>
      <c r="P568" s="24"/>
      <c r="Q568" s="1"/>
      <c r="R568" s="1"/>
      <c r="S568" s="24"/>
      <c r="T568" s="1"/>
      <c r="U568" s="1"/>
      <c r="V568" s="24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24"/>
      <c r="G569" s="1"/>
      <c r="H569" s="1"/>
      <c r="I569" s="1"/>
      <c r="J569" s="25"/>
      <c r="K569" s="1"/>
      <c r="L569" s="1"/>
      <c r="M569" s="1"/>
      <c r="N569" s="25"/>
      <c r="O569" s="25"/>
      <c r="P569" s="24"/>
      <c r="Q569" s="1"/>
      <c r="R569" s="1"/>
      <c r="S569" s="24"/>
      <c r="T569" s="1"/>
      <c r="U569" s="1"/>
      <c r="V569" s="24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24"/>
      <c r="G570" s="1"/>
      <c r="H570" s="1"/>
      <c r="I570" s="1"/>
      <c r="J570" s="25"/>
      <c r="K570" s="1"/>
      <c r="L570" s="1"/>
      <c r="M570" s="1"/>
      <c r="N570" s="25"/>
      <c r="O570" s="25"/>
      <c r="P570" s="24"/>
      <c r="Q570" s="1"/>
      <c r="R570" s="1"/>
      <c r="S570" s="24"/>
      <c r="T570" s="1"/>
      <c r="U570" s="1"/>
      <c r="V570" s="24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24"/>
      <c r="G571" s="1"/>
      <c r="H571" s="1"/>
      <c r="I571" s="1"/>
      <c r="J571" s="25"/>
      <c r="K571" s="1"/>
      <c r="L571" s="1"/>
      <c r="M571" s="1"/>
      <c r="N571" s="25"/>
      <c r="O571" s="25"/>
      <c r="P571" s="24"/>
      <c r="Q571" s="1"/>
      <c r="R571" s="1"/>
      <c r="S571" s="24"/>
      <c r="T571" s="1"/>
      <c r="U571" s="1"/>
      <c r="V571" s="24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24"/>
      <c r="G572" s="1"/>
      <c r="H572" s="1"/>
      <c r="I572" s="1"/>
      <c r="J572" s="25"/>
      <c r="K572" s="1"/>
      <c r="L572" s="1"/>
      <c r="M572" s="1"/>
      <c r="N572" s="25"/>
      <c r="O572" s="25"/>
      <c r="P572" s="24"/>
      <c r="Q572" s="1"/>
      <c r="R572" s="1"/>
      <c r="S572" s="24"/>
      <c r="T572" s="1"/>
      <c r="U572" s="1"/>
      <c r="V572" s="24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24"/>
      <c r="G573" s="1"/>
      <c r="H573" s="1"/>
      <c r="I573" s="1"/>
      <c r="J573" s="25"/>
      <c r="K573" s="1"/>
      <c r="L573" s="1"/>
      <c r="M573" s="1"/>
      <c r="N573" s="25"/>
      <c r="O573" s="25"/>
      <c r="P573" s="24"/>
      <c r="Q573" s="1"/>
      <c r="R573" s="1"/>
      <c r="S573" s="24"/>
      <c r="T573" s="1"/>
      <c r="U573" s="1"/>
      <c r="V573" s="24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24"/>
      <c r="G574" s="1"/>
      <c r="H574" s="1"/>
      <c r="I574" s="1"/>
      <c r="J574" s="25"/>
      <c r="K574" s="1"/>
      <c r="L574" s="1"/>
      <c r="M574" s="1"/>
      <c r="N574" s="25"/>
      <c r="O574" s="25"/>
      <c r="P574" s="24"/>
      <c r="Q574" s="1"/>
      <c r="R574" s="1"/>
      <c r="S574" s="24"/>
      <c r="T574" s="1"/>
      <c r="U574" s="1"/>
      <c r="V574" s="24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24"/>
      <c r="G575" s="1"/>
      <c r="H575" s="1"/>
      <c r="I575" s="1"/>
      <c r="J575" s="25"/>
      <c r="K575" s="1"/>
      <c r="L575" s="1"/>
      <c r="M575" s="1"/>
      <c r="N575" s="25"/>
      <c r="O575" s="25"/>
      <c r="P575" s="24"/>
      <c r="Q575" s="1"/>
      <c r="R575" s="1"/>
      <c r="S575" s="24"/>
      <c r="T575" s="1"/>
      <c r="U575" s="1"/>
      <c r="V575" s="24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24"/>
      <c r="G576" s="1"/>
      <c r="H576" s="1"/>
      <c r="I576" s="1"/>
      <c r="J576" s="25"/>
      <c r="K576" s="1"/>
      <c r="L576" s="1"/>
      <c r="M576" s="1"/>
      <c r="N576" s="25"/>
      <c r="O576" s="25"/>
      <c r="P576" s="24"/>
      <c r="Q576" s="1"/>
      <c r="R576" s="1"/>
      <c r="S576" s="24"/>
      <c r="T576" s="1"/>
      <c r="U576" s="1"/>
      <c r="V576" s="24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24"/>
      <c r="G577" s="1"/>
      <c r="H577" s="1"/>
      <c r="I577" s="1"/>
      <c r="J577" s="25"/>
      <c r="K577" s="1"/>
      <c r="L577" s="1"/>
      <c r="M577" s="1"/>
      <c r="N577" s="25"/>
      <c r="O577" s="25"/>
      <c r="P577" s="24"/>
      <c r="Q577" s="1"/>
      <c r="R577" s="1"/>
      <c r="S577" s="24"/>
      <c r="T577" s="1"/>
      <c r="U577" s="1"/>
      <c r="V577" s="24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24"/>
      <c r="G578" s="1"/>
      <c r="H578" s="1"/>
      <c r="I578" s="1"/>
      <c r="J578" s="25"/>
      <c r="K578" s="1"/>
      <c r="L578" s="1"/>
      <c r="M578" s="1"/>
      <c r="N578" s="25"/>
      <c r="O578" s="25"/>
      <c r="P578" s="24"/>
      <c r="Q578" s="1"/>
      <c r="R578" s="1"/>
      <c r="S578" s="24"/>
      <c r="T578" s="1"/>
      <c r="U578" s="1"/>
      <c r="V578" s="24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24"/>
      <c r="G579" s="1"/>
      <c r="H579" s="1"/>
      <c r="I579" s="1"/>
      <c r="J579" s="25"/>
      <c r="K579" s="1"/>
      <c r="L579" s="1"/>
      <c r="M579" s="1"/>
      <c r="N579" s="25"/>
      <c r="O579" s="25"/>
      <c r="P579" s="24"/>
      <c r="Q579" s="1"/>
      <c r="R579" s="1"/>
      <c r="S579" s="24"/>
      <c r="T579" s="1"/>
      <c r="U579" s="1"/>
      <c r="V579" s="24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24"/>
      <c r="G580" s="1"/>
      <c r="H580" s="1"/>
      <c r="I580" s="1"/>
      <c r="J580" s="25"/>
      <c r="K580" s="1"/>
      <c r="L580" s="1"/>
      <c r="M580" s="1"/>
      <c r="N580" s="25"/>
      <c r="O580" s="25"/>
      <c r="P580" s="24"/>
      <c r="Q580" s="1"/>
      <c r="R580" s="1"/>
      <c r="S580" s="24"/>
      <c r="T580" s="1"/>
      <c r="U580" s="1"/>
      <c r="V580" s="24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24"/>
      <c r="G581" s="1"/>
      <c r="H581" s="1"/>
      <c r="I581" s="1"/>
      <c r="J581" s="25"/>
      <c r="K581" s="1"/>
      <c r="L581" s="1"/>
      <c r="M581" s="1"/>
      <c r="N581" s="25"/>
      <c r="O581" s="25"/>
      <c r="P581" s="24"/>
      <c r="Q581" s="1"/>
      <c r="R581" s="1"/>
      <c r="S581" s="24"/>
      <c r="T581" s="1"/>
      <c r="U581" s="1"/>
      <c r="V581" s="24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24"/>
      <c r="G582" s="1"/>
      <c r="H582" s="1"/>
      <c r="I582" s="1"/>
      <c r="J582" s="25"/>
      <c r="K582" s="1"/>
      <c r="L582" s="1"/>
      <c r="M582" s="1"/>
      <c r="N582" s="25"/>
      <c r="O582" s="25"/>
      <c r="P582" s="24"/>
      <c r="Q582" s="1"/>
      <c r="R582" s="1"/>
      <c r="S582" s="24"/>
      <c r="T582" s="1"/>
      <c r="U582" s="1"/>
      <c r="V582" s="24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24"/>
      <c r="G583" s="1"/>
      <c r="H583" s="1"/>
      <c r="I583" s="1"/>
      <c r="J583" s="25"/>
      <c r="K583" s="1"/>
      <c r="L583" s="1"/>
      <c r="M583" s="1"/>
      <c r="N583" s="25"/>
      <c r="O583" s="25"/>
      <c r="P583" s="24"/>
      <c r="Q583" s="1"/>
      <c r="R583" s="1"/>
      <c r="S583" s="24"/>
      <c r="T583" s="1"/>
      <c r="U583" s="1"/>
      <c r="V583" s="24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24"/>
      <c r="G584" s="1"/>
      <c r="H584" s="1"/>
      <c r="I584" s="1"/>
      <c r="J584" s="25"/>
      <c r="K584" s="1"/>
      <c r="L584" s="1"/>
      <c r="M584" s="1"/>
      <c r="N584" s="25"/>
      <c r="O584" s="25"/>
      <c r="P584" s="24"/>
      <c r="Q584" s="1"/>
      <c r="R584" s="1"/>
      <c r="S584" s="24"/>
      <c r="T584" s="1"/>
      <c r="U584" s="1"/>
      <c r="V584" s="24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24"/>
      <c r="G585" s="1"/>
      <c r="H585" s="1"/>
      <c r="I585" s="1"/>
      <c r="J585" s="25"/>
      <c r="K585" s="1"/>
      <c r="L585" s="1"/>
      <c r="M585" s="1"/>
      <c r="N585" s="25"/>
      <c r="O585" s="25"/>
      <c r="P585" s="24"/>
      <c r="Q585" s="1"/>
      <c r="R585" s="1"/>
      <c r="S585" s="24"/>
      <c r="T585" s="1"/>
      <c r="U585" s="1"/>
      <c r="V585" s="24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24"/>
      <c r="G586" s="1"/>
      <c r="H586" s="1"/>
      <c r="I586" s="1"/>
      <c r="J586" s="25"/>
      <c r="K586" s="1"/>
      <c r="L586" s="1"/>
      <c r="M586" s="1"/>
      <c r="N586" s="25"/>
      <c r="O586" s="25"/>
      <c r="P586" s="24"/>
      <c r="Q586" s="1"/>
      <c r="R586" s="1"/>
      <c r="S586" s="24"/>
      <c r="T586" s="1"/>
      <c r="U586" s="1"/>
      <c r="V586" s="24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24"/>
      <c r="G587" s="1"/>
      <c r="H587" s="1"/>
      <c r="I587" s="1"/>
      <c r="J587" s="25"/>
      <c r="K587" s="1"/>
      <c r="L587" s="1"/>
      <c r="M587" s="1"/>
      <c r="N587" s="25"/>
      <c r="O587" s="25"/>
      <c r="P587" s="24"/>
      <c r="Q587" s="1"/>
      <c r="R587" s="1"/>
      <c r="S587" s="24"/>
      <c r="T587" s="1"/>
      <c r="U587" s="1"/>
      <c r="V587" s="24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24"/>
      <c r="G588" s="1"/>
      <c r="H588" s="1"/>
      <c r="I588" s="1"/>
      <c r="J588" s="25"/>
      <c r="K588" s="1"/>
      <c r="L588" s="1"/>
      <c r="M588" s="1"/>
      <c r="N588" s="25"/>
      <c r="O588" s="25"/>
      <c r="P588" s="24"/>
      <c r="Q588" s="1"/>
      <c r="R588" s="1"/>
      <c r="S588" s="24"/>
      <c r="T588" s="1"/>
      <c r="U588" s="1"/>
      <c r="V588" s="24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24"/>
      <c r="G589" s="1"/>
      <c r="H589" s="1"/>
      <c r="I589" s="1"/>
      <c r="J589" s="25"/>
      <c r="K589" s="1"/>
      <c r="L589" s="1"/>
      <c r="M589" s="1"/>
      <c r="N589" s="25"/>
      <c r="O589" s="25"/>
      <c r="P589" s="24"/>
      <c r="Q589" s="1"/>
      <c r="R589" s="1"/>
      <c r="S589" s="24"/>
      <c r="T589" s="1"/>
      <c r="U589" s="1"/>
      <c r="V589" s="24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24"/>
      <c r="G590" s="1"/>
      <c r="H590" s="1"/>
      <c r="I590" s="1"/>
      <c r="J590" s="25"/>
      <c r="K590" s="1"/>
      <c r="L590" s="1"/>
      <c r="M590" s="1"/>
      <c r="N590" s="25"/>
      <c r="O590" s="25"/>
      <c r="P590" s="24"/>
      <c r="Q590" s="1"/>
      <c r="R590" s="1"/>
      <c r="S590" s="24"/>
      <c r="T590" s="1"/>
      <c r="U590" s="1"/>
      <c r="V590" s="24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24"/>
      <c r="G591" s="1"/>
      <c r="H591" s="1"/>
      <c r="I591" s="1"/>
      <c r="J591" s="25"/>
      <c r="K591" s="1"/>
      <c r="L591" s="1"/>
      <c r="M591" s="1"/>
      <c r="N591" s="25"/>
      <c r="O591" s="25"/>
      <c r="P591" s="24"/>
      <c r="Q591" s="1"/>
      <c r="R591" s="1"/>
      <c r="S591" s="24"/>
      <c r="T591" s="1"/>
      <c r="U591" s="1"/>
      <c r="V591" s="24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24"/>
      <c r="G592" s="1"/>
      <c r="H592" s="1"/>
      <c r="I592" s="1"/>
      <c r="J592" s="25"/>
      <c r="K592" s="1"/>
      <c r="L592" s="1"/>
      <c r="M592" s="1"/>
      <c r="N592" s="25"/>
      <c r="O592" s="25"/>
      <c r="P592" s="24"/>
      <c r="Q592" s="1"/>
      <c r="R592" s="1"/>
      <c r="S592" s="24"/>
      <c r="T592" s="1"/>
      <c r="U592" s="1"/>
      <c r="V592" s="24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24"/>
      <c r="G593" s="1"/>
      <c r="H593" s="1"/>
      <c r="I593" s="1"/>
      <c r="J593" s="25"/>
      <c r="K593" s="1"/>
      <c r="L593" s="1"/>
      <c r="M593" s="1"/>
      <c r="N593" s="25"/>
      <c r="O593" s="25"/>
      <c r="P593" s="24"/>
      <c r="Q593" s="1"/>
      <c r="R593" s="1"/>
      <c r="S593" s="24"/>
      <c r="T593" s="1"/>
      <c r="U593" s="1"/>
      <c r="V593" s="24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24"/>
      <c r="G594" s="1"/>
      <c r="H594" s="1"/>
      <c r="I594" s="1"/>
      <c r="J594" s="25"/>
      <c r="K594" s="1"/>
      <c r="L594" s="1"/>
      <c r="M594" s="1"/>
      <c r="N594" s="25"/>
      <c r="O594" s="25"/>
      <c r="P594" s="24"/>
      <c r="Q594" s="1"/>
      <c r="R594" s="1"/>
      <c r="S594" s="24"/>
      <c r="T594" s="1"/>
      <c r="U594" s="1"/>
      <c r="V594" s="24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24"/>
      <c r="G595" s="1"/>
      <c r="H595" s="1"/>
      <c r="I595" s="1"/>
      <c r="J595" s="25"/>
      <c r="K595" s="1"/>
      <c r="L595" s="1"/>
      <c r="M595" s="1"/>
      <c r="N595" s="25"/>
      <c r="O595" s="25"/>
      <c r="P595" s="24"/>
      <c r="Q595" s="1"/>
      <c r="R595" s="1"/>
      <c r="S595" s="24"/>
      <c r="T595" s="1"/>
      <c r="U595" s="1"/>
      <c r="V595" s="24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24"/>
      <c r="G596" s="1"/>
      <c r="H596" s="1"/>
      <c r="I596" s="1"/>
      <c r="J596" s="25"/>
      <c r="K596" s="1"/>
      <c r="L596" s="1"/>
      <c r="M596" s="1"/>
      <c r="N596" s="25"/>
      <c r="O596" s="25"/>
      <c r="P596" s="24"/>
      <c r="Q596" s="1"/>
      <c r="R596" s="1"/>
      <c r="S596" s="24"/>
      <c r="T596" s="1"/>
      <c r="U596" s="1"/>
      <c r="V596" s="24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24"/>
      <c r="G597" s="1"/>
      <c r="H597" s="1"/>
      <c r="I597" s="1"/>
      <c r="J597" s="25"/>
      <c r="K597" s="1"/>
      <c r="L597" s="1"/>
      <c r="M597" s="1"/>
      <c r="N597" s="25"/>
      <c r="O597" s="25"/>
      <c r="P597" s="24"/>
      <c r="Q597" s="1"/>
      <c r="R597" s="1"/>
      <c r="S597" s="24"/>
      <c r="T597" s="1"/>
      <c r="U597" s="1"/>
      <c r="V597" s="24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24"/>
      <c r="G598" s="1"/>
      <c r="H598" s="1"/>
      <c r="I598" s="1"/>
      <c r="J598" s="25"/>
      <c r="K598" s="1"/>
      <c r="L598" s="1"/>
      <c r="M598" s="1"/>
      <c r="N598" s="25"/>
      <c r="O598" s="25"/>
      <c r="P598" s="24"/>
      <c r="Q598" s="1"/>
      <c r="R598" s="1"/>
      <c r="S598" s="24"/>
      <c r="T598" s="1"/>
      <c r="U598" s="1"/>
      <c r="V598" s="24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24"/>
      <c r="G599" s="1"/>
      <c r="H599" s="1"/>
      <c r="I599" s="1"/>
      <c r="J599" s="25"/>
      <c r="K599" s="1"/>
      <c r="L599" s="1"/>
      <c r="M599" s="1"/>
      <c r="N599" s="25"/>
      <c r="O599" s="25"/>
      <c r="P599" s="24"/>
      <c r="Q599" s="1"/>
      <c r="R599" s="1"/>
      <c r="S599" s="24"/>
      <c r="T599" s="1"/>
      <c r="U599" s="1"/>
      <c r="V599" s="24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24"/>
      <c r="G600" s="1"/>
      <c r="H600" s="1"/>
      <c r="I600" s="1"/>
      <c r="J600" s="25"/>
      <c r="K600" s="1"/>
      <c r="L600" s="1"/>
      <c r="M600" s="1"/>
      <c r="N600" s="25"/>
      <c r="O600" s="25"/>
      <c r="P600" s="24"/>
      <c r="Q600" s="1"/>
      <c r="R600" s="1"/>
      <c r="S600" s="24"/>
      <c r="T600" s="1"/>
      <c r="U600" s="1"/>
      <c r="V600" s="24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24"/>
      <c r="G601" s="1"/>
      <c r="H601" s="1"/>
      <c r="I601" s="1"/>
      <c r="J601" s="25"/>
      <c r="K601" s="1"/>
      <c r="L601" s="1"/>
      <c r="M601" s="1"/>
      <c r="N601" s="25"/>
      <c r="O601" s="25"/>
      <c r="P601" s="24"/>
      <c r="Q601" s="1"/>
      <c r="R601" s="1"/>
      <c r="S601" s="24"/>
      <c r="T601" s="1"/>
      <c r="U601" s="1"/>
      <c r="V601" s="24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24"/>
      <c r="G602" s="1"/>
      <c r="H602" s="1"/>
      <c r="I602" s="1"/>
      <c r="J602" s="25"/>
      <c r="K602" s="1"/>
      <c r="L602" s="1"/>
      <c r="M602" s="1"/>
      <c r="N602" s="25"/>
      <c r="O602" s="25"/>
      <c r="P602" s="24"/>
      <c r="Q602" s="1"/>
      <c r="R602" s="1"/>
      <c r="S602" s="24"/>
      <c r="T602" s="1"/>
      <c r="U602" s="1"/>
      <c r="V602" s="24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24"/>
      <c r="G603" s="1"/>
      <c r="H603" s="1"/>
      <c r="I603" s="1"/>
      <c r="J603" s="25"/>
      <c r="K603" s="1"/>
      <c r="L603" s="1"/>
      <c r="M603" s="1"/>
      <c r="N603" s="25"/>
      <c r="O603" s="25"/>
      <c r="P603" s="24"/>
      <c r="Q603" s="1"/>
      <c r="R603" s="1"/>
      <c r="S603" s="24"/>
      <c r="T603" s="1"/>
      <c r="U603" s="1"/>
      <c r="V603" s="24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24"/>
      <c r="G604" s="1"/>
      <c r="H604" s="1"/>
      <c r="I604" s="1"/>
      <c r="J604" s="25"/>
      <c r="K604" s="1"/>
      <c r="L604" s="1"/>
      <c r="M604" s="1"/>
      <c r="N604" s="25"/>
      <c r="O604" s="25"/>
      <c r="P604" s="24"/>
      <c r="Q604" s="1"/>
      <c r="R604" s="1"/>
      <c r="S604" s="24"/>
      <c r="T604" s="1"/>
      <c r="U604" s="1"/>
      <c r="V604" s="24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24"/>
      <c r="G605" s="1"/>
      <c r="H605" s="1"/>
      <c r="I605" s="1"/>
      <c r="J605" s="25"/>
      <c r="K605" s="1"/>
      <c r="L605" s="1"/>
      <c r="M605" s="1"/>
      <c r="N605" s="25"/>
      <c r="O605" s="25"/>
      <c r="P605" s="24"/>
      <c r="Q605" s="1"/>
      <c r="R605" s="1"/>
      <c r="S605" s="24"/>
      <c r="T605" s="1"/>
      <c r="U605" s="1"/>
      <c r="V605" s="24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24"/>
      <c r="G606" s="1"/>
      <c r="H606" s="1"/>
      <c r="I606" s="1"/>
      <c r="J606" s="25"/>
      <c r="K606" s="1"/>
      <c r="L606" s="1"/>
      <c r="M606" s="1"/>
      <c r="N606" s="25"/>
      <c r="O606" s="25"/>
      <c r="P606" s="24"/>
      <c r="Q606" s="1"/>
      <c r="R606" s="1"/>
      <c r="S606" s="24"/>
      <c r="T606" s="1"/>
      <c r="U606" s="1"/>
      <c r="V606" s="24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24"/>
      <c r="G607" s="1"/>
      <c r="H607" s="1"/>
      <c r="I607" s="1"/>
      <c r="J607" s="25"/>
      <c r="K607" s="1"/>
      <c r="L607" s="1"/>
      <c r="M607" s="1"/>
      <c r="N607" s="25"/>
      <c r="O607" s="25"/>
      <c r="P607" s="24"/>
      <c r="Q607" s="1"/>
      <c r="R607" s="1"/>
      <c r="S607" s="24"/>
      <c r="T607" s="1"/>
      <c r="U607" s="1"/>
      <c r="V607" s="24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24"/>
      <c r="G608" s="1"/>
      <c r="H608" s="1"/>
      <c r="I608" s="1"/>
      <c r="J608" s="25"/>
      <c r="K608" s="1"/>
      <c r="L608" s="1"/>
      <c r="M608" s="1"/>
      <c r="N608" s="25"/>
      <c r="O608" s="25"/>
      <c r="P608" s="24"/>
      <c r="Q608" s="1"/>
      <c r="R608" s="1"/>
      <c r="S608" s="24"/>
      <c r="T608" s="1"/>
      <c r="U608" s="1"/>
      <c r="V608" s="24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24"/>
      <c r="G609" s="1"/>
      <c r="H609" s="1"/>
      <c r="I609" s="1"/>
      <c r="J609" s="25"/>
      <c r="K609" s="1"/>
      <c r="L609" s="1"/>
      <c r="M609" s="1"/>
      <c r="N609" s="25"/>
      <c r="O609" s="25"/>
      <c r="P609" s="24"/>
      <c r="Q609" s="1"/>
      <c r="R609" s="1"/>
      <c r="S609" s="24"/>
      <c r="T609" s="1"/>
      <c r="U609" s="1"/>
      <c r="V609" s="24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24"/>
      <c r="G610" s="1"/>
      <c r="H610" s="1"/>
      <c r="I610" s="1"/>
      <c r="J610" s="25"/>
      <c r="K610" s="1"/>
      <c r="L610" s="1"/>
      <c r="M610" s="1"/>
      <c r="N610" s="25"/>
      <c r="O610" s="25"/>
      <c r="P610" s="24"/>
      <c r="Q610" s="1"/>
      <c r="R610" s="1"/>
      <c r="S610" s="24"/>
      <c r="T610" s="1"/>
      <c r="U610" s="1"/>
      <c r="V610" s="24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24"/>
      <c r="G611" s="1"/>
      <c r="H611" s="1"/>
      <c r="I611" s="1"/>
      <c r="J611" s="25"/>
      <c r="K611" s="1"/>
      <c r="L611" s="1"/>
      <c r="M611" s="1"/>
      <c r="N611" s="25"/>
      <c r="O611" s="25"/>
      <c r="P611" s="24"/>
      <c r="Q611" s="1"/>
      <c r="R611" s="1"/>
      <c r="S611" s="24"/>
      <c r="T611" s="1"/>
      <c r="U611" s="1"/>
      <c r="V611" s="24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24"/>
      <c r="G612" s="1"/>
      <c r="H612" s="1"/>
      <c r="I612" s="1"/>
      <c r="J612" s="25"/>
      <c r="K612" s="1"/>
      <c r="L612" s="1"/>
      <c r="M612" s="1"/>
      <c r="N612" s="25"/>
      <c r="O612" s="25"/>
      <c r="P612" s="24"/>
      <c r="Q612" s="1"/>
      <c r="R612" s="1"/>
      <c r="S612" s="24"/>
      <c r="T612" s="1"/>
      <c r="U612" s="1"/>
      <c r="V612" s="24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24"/>
      <c r="G613" s="1"/>
      <c r="H613" s="1"/>
      <c r="I613" s="1"/>
      <c r="J613" s="25"/>
      <c r="K613" s="1"/>
      <c r="L613" s="1"/>
      <c r="M613" s="1"/>
      <c r="N613" s="25"/>
      <c r="O613" s="25"/>
      <c r="P613" s="24"/>
      <c r="Q613" s="1"/>
      <c r="R613" s="1"/>
      <c r="S613" s="24"/>
      <c r="T613" s="1"/>
      <c r="U613" s="1"/>
      <c r="V613" s="24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24"/>
      <c r="G614" s="1"/>
      <c r="H614" s="1"/>
      <c r="I614" s="1"/>
      <c r="J614" s="25"/>
      <c r="K614" s="1"/>
      <c r="L614" s="1"/>
      <c r="M614" s="1"/>
      <c r="N614" s="25"/>
      <c r="O614" s="25"/>
      <c r="P614" s="24"/>
      <c r="Q614" s="1"/>
      <c r="R614" s="1"/>
      <c r="S614" s="24"/>
      <c r="T614" s="1"/>
      <c r="U614" s="1"/>
      <c r="V614" s="24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24"/>
      <c r="G615" s="1"/>
      <c r="H615" s="1"/>
      <c r="I615" s="1"/>
      <c r="J615" s="25"/>
      <c r="K615" s="1"/>
      <c r="L615" s="1"/>
      <c r="M615" s="1"/>
      <c r="N615" s="25"/>
      <c r="O615" s="25"/>
      <c r="P615" s="24"/>
      <c r="Q615" s="1"/>
      <c r="R615" s="1"/>
      <c r="S615" s="24"/>
      <c r="T615" s="1"/>
      <c r="U615" s="1"/>
      <c r="V615" s="24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24"/>
      <c r="G616" s="1"/>
      <c r="H616" s="1"/>
      <c r="I616" s="1"/>
      <c r="J616" s="25"/>
      <c r="K616" s="1"/>
      <c r="L616" s="1"/>
      <c r="M616" s="1"/>
      <c r="N616" s="25"/>
      <c r="O616" s="25"/>
      <c r="P616" s="24"/>
      <c r="Q616" s="1"/>
      <c r="R616" s="1"/>
      <c r="S616" s="24"/>
      <c r="T616" s="1"/>
      <c r="U616" s="1"/>
      <c r="V616" s="24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24"/>
      <c r="G617" s="1"/>
      <c r="H617" s="1"/>
      <c r="I617" s="1"/>
      <c r="J617" s="25"/>
      <c r="K617" s="1"/>
      <c r="L617" s="1"/>
      <c r="M617" s="1"/>
      <c r="N617" s="25"/>
      <c r="O617" s="25"/>
      <c r="P617" s="24"/>
      <c r="Q617" s="1"/>
      <c r="R617" s="1"/>
      <c r="S617" s="24"/>
      <c r="T617" s="1"/>
      <c r="U617" s="1"/>
      <c r="V617" s="24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24"/>
      <c r="G618" s="1"/>
      <c r="H618" s="1"/>
      <c r="I618" s="1"/>
      <c r="J618" s="25"/>
      <c r="K618" s="1"/>
      <c r="L618" s="1"/>
      <c r="M618" s="1"/>
      <c r="N618" s="25"/>
      <c r="O618" s="25"/>
      <c r="P618" s="24"/>
      <c r="Q618" s="1"/>
      <c r="R618" s="1"/>
      <c r="S618" s="24"/>
      <c r="T618" s="1"/>
      <c r="U618" s="1"/>
      <c r="V618" s="24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24"/>
      <c r="G619" s="1"/>
      <c r="H619" s="1"/>
      <c r="I619" s="1"/>
      <c r="J619" s="25"/>
      <c r="K619" s="1"/>
      <c r="L619" s="1"/>
      <c r="M619" s="1"/>
      <c r="N619" s="25"/>
      <c r="O619" s="25"/>
      <c r="P619" s="24"/>
      <c r="Q619" s="1"/>
      <c r="R619" s="1"/>
      <c r="S619" s="24"/>
      <c r="T619" s="1"/>
      <c r="U619" s="1"/>
      <c r="V619" s="24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24"/>
      <c r="G620" s="1"/>
      <c r="H620" s="1"/>
      <c r="I620" s="1"/>
      <c r="J620" s="25"/>
      <c r="K620" s="1"/>
      <c r="L620" s="1"/>
      <c r="M620" s="1"/>
      <c r="N620" s="25"/>
      <c r="O620" s="25"/>
      <c r="P620" s="24"/>
      <c r="Q620" s="1"/>
      <c r="R620" s="1"/>
      <c r="S620" s="24"/>
      <c r="T620" s="1"/>
      <c r="U620" s="1"/>
      <c r="V620" s="24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24"/>
      <c r="G621" s="1"/>
      <c r="H621" s="1"/>
      <c r="I621" s="1"/>
      <c r="J621" s="25"/>
      <c r="K621" s="1"/>
      <c r="L621" s="1"/>
      <c r="M621" s="1"/>
      <c r="N621" s="25"/>
      <c r="O621" s="25"/>
      <c r="P621" s="24"/>
      <c r="Q621" s="1"/>
      <c r="R621" s="1"/>
      <c r="S621" s="24"/>
      <c r="T621" s="1"/>
      <c r="U621" s="1"/>
      <c r="V621" s="24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24"/>
      <c r="G622" s="1"/>
      <c r="H622" s="1"/>
      <c r="I622" s="1"/>
      <c r="J622" s="25"/>
      <c r="K622" s="1"/>
      <c r="L622" s="1"/>
      <c r="M622" s="1"/>
      <c r="N622" s="25"/>
      <c r="O622" s="25"/>
      <c r="P622" s="24"/>
      <c r="Q622" s="1"/>
      <c r="R622" s="1"/>
      <c r="S622" s="24"/>
      <c r="T622" s="1"/>
      <c r="U622" s="1"/>
      <c r="V622" s="24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24"/>
      <c r="G623" s="1"/>
      <c r="H623" s="1"/>
      <c r="I623" s="1"/>
      <c r="J623" s="25"/>
      <c r="K623" s="1"/>
      <c r="L623" s="1"/>
      <c r="M623" s="1"/>
      <c r="N623" s="25"/>
      <c r="O623" s="25"/>
      <c r="P623" s="24"/>
      <c r="Q623" s="1"/>
      <c r="R623" s="1"/>
      <c r="S623" s="24"/>
      <c r="T623" s="1"/>
      <c r="U623" s="1"/>
      <c r="V623" s="24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24"/>
      <c r="G624" s="1"/>
      <c r="H624" s="1"/>
      <c r="I624" s="1"/>
      <c r="J624" s="25"/>
      <c r="K624" s="1"/>
      <c r="L624" s="1"/>
      <c r="M624" s="1"/>
      <c r="N624" s="25"/>
      <c r="O624" s="25"/>
      <c r="P624" s="24"/>
      <c r="Q624" s="1"/>
      <c r="R624" s="1"/>
      <c r="S624" s="24"/>
      <c r="T624" s="1"/>
      <c r="U624" s="1"/>
      <c r="V624" s="24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24"/>
      <c r="G625" s="1"/>
      <c r="H625" s="1"/>
      <c r="I625" s="1"/>
      <c r="J625" s="25"/>
      <c r="K625" s="1"/>
      <c r="L625" s="1"/>
      <c r="M625" s="1"/>
      <c r="N625" s="25"/>
      <c r="O625" s="25"/>
      <c r="P625" s="24"/>
      <c r="Q625" s="1"/>
      <c r="R625" s="1"/>
      <c r="S625" s="24"/>
      <c r="T625" s="1"/>
      <c r="U625" s="1"/>
      <c r="V625" s="24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24"/>
      <c r="G626" s="1"/>
      <c r="H626" s="1"/>
      <c r="I626" s="1"/>
      <c r="J626" s="25"/>
      <c r="K626" s="1"/>
      <c r="L626" s="1"/>
      <c r="M626" s="1"/>
      <c r="N626" s="25"/>
      <c r="O626" s="25"/>
      <c r="P626" s="24"/>
      <c r="Q626" s="1"/>
      <c r="R626" s="1"/>
      <c r="S626" s="24"/>
      <c r="T626" s="1"/>
      <c r="U626" s="1"/>
      <c r="V626" s="24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24"/>
      <c r="G627" s="1"/>
      <c r="H627" s="1"/>
      <c r="I627" s="1"/>
      <c r="J627" s="25"/>
      <c r="K627" s="1"/>
      <c r="L627" s="1"/>
      <c r="M627" s="1"/>
      <c r="N627" s="25"/>
      <c r="O627" s="25"/>
      <c r="P627" s="24"/>
      <c r="Q627" s="1"/>
      <c r="R627" s="1"/>
      <c r="S627" s="24"/>
      <c r="T627" s="1"/>
      <c r="U627" s="1"/>
      <c r="V627" s="24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24"/>
      <c r="G628" s="1"/>
      <c r="H628" s="1"/>
      <c r="I628" s="1"/>
      <c r="J628" s="25"/>
      <c r="K628" s="1"/>
      <c r="L628" s="1"/>
      <c r="M628" s="1"/>
      <c r="N628" s="25"/>
      <c r="O628" s="25"/>
      <c r="P628" s="24"/>
      <c r="Q628" s="1"/>
      <c r="R628" s="1"/>
      <c r="S628" s="24"/>
      <c r="T628" s="1"/>
      <c r="U628" s="1"/>
      <c r="V628" s="24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24"/>
      <c r="G629" s="1"/>
      <c r="H629" s="1"/>
      <c r="I629" s="1"/>
      <c r="J629" s="25"/>
      <c r="K629" s="1"/>
      <c r="L629" s="1"/>
      <c r="M629" s="1"/>
      <c r="N629" s="25"/>
      <c r="O629" s="25"/>
      <c r="P629" s="24"/>
      <c r="Q629" s="1"/>
      <c r="R629" s="1"/>
      <c r="S629" s="24"/>
      <c r="T629" s="1"/>
      <c r="U629" s="1"/>
      <c r="V629" s="24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24"/>
      <c r="G630" s="1"/>
      <c r="H630" s="1"/>
      <c r="I630" s="1"/>
      <c r="J630" s="25"/>
      <c r="K630" s="1"/>
      <c r="L630" s="1"/>
      <c r="M630" s="1"/>
      <c r="N630" s="25"/>
      <c r="O630" s="25"/>
      <c r="P630" s="24"/>
      <c r="Q630" s="1"/>
      <c r="R630" s="1"/>
      <c r="S630" s="24"/>
      <c r="T630" s="1"/>
      <c r="U630" s="1"/>
      <c r="V630" s="24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24"/>
      <c r="G631" s="1"/>
      <c r="H631" s="1"/>
      <c r="I631" s="1"/>
      <c r="J631" s="25"/>
      <c r="K631" s="1"/>
      <c r="L631" s="1"/>
      <c r="M631" s="1"/>
      <c r="N631" s="25"/>
      <c r="O631" s="25"/>
      <c r="P631" s="24"/>
      <c r="Q631" s="1"/>
      <c r="R631" s="1"/>
      <c r="S631" s="24"/>
      <c r="T631" s="1"/>
      <c r="U631" s="1"/>
      <c r="V631" s="24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24"/>
      <c r="G632" s="1"/>
      <c r="H632" s="1"/>
      <c r="I632" s="1"/>
      <c r="J632" s="25"/>
      <c r="K632" s="1"/>
      <c r="L632" s="1"/>
      <c r="M632" s="1"/>
      <c r="N632" s="25"/>
      <c r="O632" s="25"/>
      <c r="P632" s="24"/>
      <c r="Q632" s="1"/>
      <c r="R632" s="1"/>
      <c r="S632" s="24"/>
      <c r="T632" s="1"/>
      <c r="U632" s="1"/>
      <c r="V632" s="24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24"/>
      <c r="G633" s="1"/>
      <c r="H633" s="1"/>
      <c r="I633" s="1"/>
      <c r="J633" s="25"/>
      <c r="K633" s="1"/>
      <c r="L633" s="1"/>
      <c r="M633" s="1"/>
      <c r="N633" s="25"/>
      <c r="O633" s="25"/>
      <c r="P633" s="24"/>
      <c r="Q633" s="1"/>
      <c r="R633" s="1"/>
      <c r="S633" s="24"/>
      <c r="T633" s="1"/>
      <c r="U633" s="1"/>
      <c r="V633" s="24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24"/>
      <c r="G634" s="1"/>
      <c r="H634" s="1"/>
      <c r="I634" s="1"/>
      <c r="J634" s="25"/>
      <c r="K634" s="1"/>
      <c r="L634" s="1"/>
      <c r="M634" s="1"/>
      <c r="N634" s="25"/>
      <c r="O634" s="25"/>
      <c r="P634" s="24"/>
      <c r="Q634" s="1"/>
      <c r="R634" s="1"/>
      <c r="S634" s="24"/>
      <c r="T634" s="1"/>
      <c r="U634" s="1"/>
      <c r="V634" s="24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24"/>
      <c r="G635" s="1"/>
      <c r="H635" s="1"/>
      <c r="I635" s="1"/>
      <c r="J635" s="25"/>
      <c r="K635" s="1"/>
      <c r="L635" s="1"/>
      <c r="M635" s="1"/>
      <c r="N635" s="25"/>
      <c r="O635" s="25"/>
      <c r="P635" s="24"/>
      <c r="Q635" s="1"/>
      <c r="R635" s="1"/>
      <c r="S635" s="24"/>
      <c r="T635" s="1"/>
      <c r="U635" s="1"/>
      <c r="V635" s="24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24"/>
      <c r="G636" s="1"/>
      <c r="H636" s="1"/>
      <c r="I636" s="1"/>
      <c r="J636" s="25"/>
      <c r="K636" s="1"/>
      <c r="L636" s="1"/>
      <c r="M636" s="1"/>
      <c r="N636" s="25"/>
      <c r="O636" s="25"/>
      <c r="P636" s="24"/>
      <c r="Q636" s="1"/>
      <c r="R636" s="1"/>
      <c r="S636" s="24"/>
      <c r="T636" s="1"/>
      <c r="U636" s="1"/>
      <c r="V636" s="24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24"/>
      <c r="G637" s="1"/>
      <c r="H637" s="1"/>
      <c r="I637" s="1"/>
      <c r="J637" s="25"/>
      <c r="K637" s="1"/>
      <c r="L637" s="1"/>
      <c r="M637" s="1"/>
      <c r="N637" s="25"/>
      <c r="O637" s="25"/>
      <c r="P637" s="24"/>
      <c r="Q637" s="1"/>
      <c r="R637" s="1"/>
      <c r="S637" s="24"/>
      <c r="T637" s="1"/>
      <c r="U637" s="1"/>
      <c r="V637" s="24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24"/>
      <c r="G638" s="1"/>
      <c r="H638" s="1"/>
      <c r="I638" s="1"/>
      <c r="J638" s="25"/>
      <c r="K638" s="1"/>
      <c r="L638" s="1"/>
      <c r="M638" s="1"/>
      <c r="N638" s="25"/>
      <c r="O638" s="25"/>
      <c r="P638" s="24"/>
      <c r="Q638" s="1"/>
      <c r="R638" s="1"/>
      <c r="S638" s="24"/>
      <c r="T638" s="1"/>
      <c r="U638" s="1"/>
      <c r="V638" s="24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24"/>
      <c r="G639" s="1"/>
      <c r="H639" s="1"/>
      <c r="I639" s="1"/>
      <c r="J639" s="25"/>
      <c r="K639" s="1"/>
      <c r="L639" s="1"/>
      <c r="M639" s="1"/>
      <c r="N639" s="25"/>
      <c r="O639" s="25"/>
      <c r="P639" s="24"/>
      <c r="Q639" s="1"/>
      <c r="R639" s="1"/>
      <c r="S639" s="24"/>
      <c r="T639" s="1"/>
      <c r="U639" s="1"/>
      <c r="V639" s="24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24"/>
      <c r="G640" s="1"/>
      <c r="H640" s="1"/>
      <c r="I640" s="1"/>
      <c r="J640" s="25"/>
      <c r="K640" s="1"/>
      <c r="L640" s="1"/>
      <c r="M640" s="1"/>
      <c r="N640" s="25"/>
      <c r="O640" s="25"/>
      <c r="P640" s="24"/>
      <c r="Q640" s="1"/>
      <c r="R640" s="1"/>
      <c r="S640" s="24"/>
      <c r="T640" s="1"/>
      <c r="U640" s="1"/>
      <c r="V640" s="24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24"/>
      <c r="G641" s="1"/>
      <c r="H641" s="1"/>
      <c r="I641" s="1"/>
      <c r="J641" s="25"/>
      <c r="K641" s="1"/>
      <c r="L641" s="1"/>
      <c r="M641" s="1"/>
      <c r="N641" s="25"/>
      <c r="O641" s="25"/>
      <c r="P641" s="24"/>
      <c r="Q641" s="1"/>
      <c r="R641" s="1"/>
      <c r="S641" s="24"/>
      <c r="T641" s="1"/>
      <c r="U641" s="1"/>
      <c r="V641" s="24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24"/>
      <c r="G642" s="1"/>
      <c r="H642" s="1"/>
      <c r="I642" s="1"/>
      <c r="J642" s="25"/>
      <c r="K642" s="1"/>
      <c r="L642" s="1"/>
      <c r="M642" s="1"/>
      <c r="N642" s="25"/>
      <c r="O642" s="25"/>
      <c r="P642" s="24"/>
      <c r="Q642" s="1"/>
      <c r="R642" s="1"/>
      <c r="S642" s="24"/>
      <c r="T642" s="1"/>
      <c r="U642" s="1"/>
      <c r="V642" s="24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24"/>
      <c r="G643" s="1"/>
      <c r="H643" s="1"/>
      <c r="I643" s="1"/>
      <c r="J643" s="25"/>
      <c r="K643" s="1"/>
      <c r="L643" s="1"/>
      <c r="M643" s="1"/>
      <c r="N643" s="25"/>
      <c r="O643" s="25"/>
      <c r="P643" s="24"/>
      <c r="Q643" s="1"/>
      <c r="R643" s="1"/>
      <c r="S643" s="24"/>
      <c r="T643" s="1"/>
      <c r="U643" s="1"/>
      <c r="V643" s="24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24"/>
      <c r="G644" s="1"/>
      <c r="H644" s="1"/>
      <c r="I644" s="1"/>
      <c r="J644" s="25"/>
      <c r="K644" s="1"/>
      <c r="L644" s="1"/>
      <c r="M644" s="1"/>
      <c r="N644" s="25"/>
      <c r="O644" s="25"/>
      <c r="P644" s="24"/>
      <c r="Q644" s="1"/>
      <c r="R644" s="1"/>
      <c r="S644" s="24"/>
      <c r="T644" s="1"/>
      <c r="U644" s="1"/>
      <c r="V644" s="24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24"/>
      <c r="G645" s="1"/>
      <c r="H645" s="1"/>
      <c r="I645" s="1"/>
      <c r="J645" s="25"/>
      <c r="K645" s="1"/>
      <c r="L645" s="1"/>
      <c r="M645" s="1"/>
      <c r="N645" s="25"/>
      <c r="O645" s="25"/>
      <c r="P645" s="24"/>
      <c r="Q645" s="1"/>
      <c r="R645" s="1"/>
      <c r="S645" s="24"/>
      <c r="T645" s="1"/>
      <c r="U645" s="1"/>
      <c r="V645" s="24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24"/>
      <c r="G646" s="1"/>
      <c r="H646" s="1"/>
      <c r="I646" s="1"/>
      <c r="J646" s="25"/>
      <c r="K646" s="1"/>
      <c r="L646" s="1"/>
      <c r="M646" s="1"/>
      <c r="N646" s="25"/>
      <c r="O646" s="25"/>
      <c r="P646" s="24"/>
      <c r="Q646" s="1"/>
      <c r="R646" s="1"/>
      <c r="S646" s="24"/>
      <c r="T646" s="1"/>
      <c r="U646" s="1"/>
      <c r="V646" s="24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24"/>
      <c r="G647" s="1"/>
      <c r="H647" s="1"/>
      <c r="I647" s="1"/>
      <c r="J647" s="25"/>
      <c r="K647" s="1"/>
      <c r="L647" s="1"/>
      <c r="M647" s="1"/>
      <c r="N647" s="25"/>
      <c r="O647" s="25"/>
      <c r="P647" s="24"/>
      <c r="Q647" s="1"/>
      <c r="R647" s="1"/>
      <c r="S647" s="24"/>
      <c r="T647" s="1"/>
      <c r="U647" s="1"/>
      <c r="V647" s="24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24"/>
      <c r="G648" s="1"/>
      <c r="H648" s="1"/>
      <c r="I648" s="1"/>
      <c r="J648" s="25"/>
      <c r="K648" s="1"/>
      <c r="L648" s="1"/>
      <c r="M648" s="1"/>
      <c r="N648" s="25"/>
      <c r="O648" s="25"/>
      <c r="P648" s="24"/>
      <c r="Q648" s="1"/>
      <c r="R648" s="1"/>
      <c r="S648" s="24"/>
      <c r="T648" s="1"/>
      <c r="U648" s="1"/>
      <c r="V648" s="24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24"/>
      <c r="G649" s="1"/>
      <c r="H649" s="1"/>
      <c r="I649" s="1"/>
      <c r="J649" s="25"/>
      <c r="K649" s="1"/>
      <c r="L649" s="1"/>
      <c r="M649" s="1"/>
      <c r="N649" s="25"/>
      <c r="O649" s="25"/>
      <c r="P649" s="24"/>
      <c r="Q649" s="1"/>
      <c r="R649" s="1"/>
      <c r="S649" s="24"/>
      <c r="T649" s="1"/>
      <c r="U649" s="1"/>
      <c r="V649" s="24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24"/>
      <c r="G650" s="1"/>
      <c r="H650" s="1"/>
      <c r="I650" s="1"/>
      <c r="J650" s="25"/>
      <c r="K650" s="1"/>
      <c r="L650" s="1"/>
      <c r="M650" s="1"/>
      <c r="N650" s="25"/>
      <c r="O650" s="25"/>
      <c r="P650" s="24"/>
      <c r="Q650" s="1"/>
      <c r="R650" s="1"/>
      <c r="S650" s="24"/>
      <c r="T650" s="1"/>
      <c r="U650" s="1"/>
      <c r="V650" s="24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24"/>
      <c r="G651" s="1"/>
      <c r="H651" s="1"/>
      <c r="I651" s="1"/>
      <c r="J651" s="25"/>
      <c r="K651" s="1"/>
      <c r="L651" s="1"/>
      <c r="M651" s="1"/>
      <c r="N651" s="25"/>
      <c r="O651" s="25"/>
      <c r="P651" s="24"/>
      <c r="Q651" s="1"/>
      <c r="R651" s="1"/>
      <c r="S651" s="24"/>
      <c r="T651" s="1"/>
      <c r="U651" s="1"/>
      <c r="V651" s="24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24"/>
      <c r="G652" s="1"/>
      <c r="H652" s="1"/>
      <c r="I652" s="1"/>
      <c r="J652" s="25"/>
      <c r="K652" s="1"/>
      <c r="L652" s="1"/>
      <c r="M652" s="1"/>
      <c r="N652" s="25"/>
      <c r="O652" s="25"/>
      <c r="P652" s="24"/>
      <c r="Q652" s="1"/>
      <c r="R652" s="1"/>
      <c r="S652" s="24"/>
      <c r="T652" s="1"/>
      <c r="U652" s="1"/>
      <c r="V652" s="24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24"/>
      <c r="G653" s="1"/>
      <c r="H653" s="1"/>
      <c r="I653" s="1"/>
      <c r="J653" s="25"/>
      <c r="K653" s="1"/>
      <c r="L653" s="1"/>
      <c r="M653" s="1"/>
      <c r="N653" s="25"/>
      <c r="O653" s="25"/>
      <c r="P653" s="24"/>
      <c r="Q653" s="1"/>
      <c r="R653" s="1"/>
      <c r="S653" s="24"/>
      <c r="T653" s="1"/>
      <c r="U653" s="1"/>
      <c r="V653" s="24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24"/>
      <c r="G654" s="1"/>
      <c r="H654" s="1"/>
      <c r="I654" s="1"/>
      <c r="J654" s="25"/>
      <c r="K654" s="1"/>
      <c r="L654" s="1"/>
      <c r="M654" s="1"/>
      <c r="N654" s="25"/>
      <c r="O654" s="25"/>
      <c r="P654" s="24"/>
      <c r="Q654" s="1"/>
      <c r="R654" s="1"/>
      <c r="S654" s="24"/>
      <c r="T654" s="1"/>
      <c r="U654" s="1"/>
      <c r="V654" s="24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24"/>
      <c r="G655" s="1"/>
      <c r="H655" s="1"/>
      <c r="I655" s="1"/>
      <c r="J655" s="25"/>
      <c r="K655" s="1"/>
      <c r="L655" s="1"/>
      <c r="M655" s="1"/>
      <c r="N655" s="25"/>
      <c r="O655" s="25"/>
      <c r="P655" s="24"/>
      <c r="Q655" s="1"/>
      <c r="R655" s="1"/>
      <c r="S655" s="24"/>
      <c r="T655" s="1"/>
      <c r="U655" s="1"/>
      <c r="V655" s="24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24"/>
      <c r="G656" s="1"/>
      <c r="H656" s="1"/>
      <c r="I656" s="1"/>
      <c r="J656" s="25"/>
      <c r="K656" s="1"/>
      <c r="L656" s="1"/>
      <c r="M656" s="1"/>
      <c r="N656" s="25"/>
      <c r="O656" s="25"/>
      <c r="P656" s="24"/>
      <c r="Q656" s="1"/>
      <c r="R656" s="1"/>
      <c r="S656" s="24"/>
      <c r="T656" s="1"/>
      <c r="U656" s="1"/>
      <c r="V656" s="24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24"/>
      <c r="G657" s="1"/>
      <c r="H657" s="1"/>
      <c r="I657" s="1"/>
      <c r="J657" s="25"/>
      <c r="K657" s="1"/>
      <c r="L657" s="1"/>
      <c r="M657" s="1"/>
      <c r="N657" s="25"/>
      <c r="O657" s="25"/>
      <c r="P657" s="24"/>
      <c r="Q657" s="1"/>
      <c r="R657" s="1"/>
      <c r="S657" s="24"/>
      <c r="T657" s="1"/>
      <c r="U657" s="1"/>
      <c r="V657" s="24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24"/>
      <c r="G658" s="1"/>
      <c r="H658" s="1"/>
      <c r="I658" s="1"/>
      <c r="J658" s="25"/>
      <c r="K658" s="1"/>
      <c r="L658" s="1"/>
      <c r="M658" s="1"/>
      <c r="N658" s="25"/>
      <c r="O658" s="25"/>
      <c r="P658" s="24"/>
      <c r="Q658" s="1"/>
      <c r="R658" s="1"/>
      <c r="S658" s="24"/>
      <c r="T658" s="1"/>
      <c r="U658" s="1"/>
      <c r="V658" s="24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24"/>
      <c r="G659" s="1"/>
      <c r="H659" s="1"/>
      <c r="I659" s="1"/>
      <c r="J659" s="25"/>
      <c r="K659" s="1"/>
      <c r="L659" s="1"/>
      <c r="M659" s="1"/>
      <c r="N659" s="25"/>
      <c r="O659" s="25"/>
      <c r="P659" s="24"/>
      <c r="Q659" s="1"/>
      <c r="R659" s="1"/>
      <c r="S659" s="24"/>
      <c r="T659" s="1"/>
      <c r="U659" s="1"/>
      <c r="V659" s="24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24"/>
      <c r="G660" s="1"/>
      <c r="H660" s="1"/>
      <c r="I660" s="1"/>
      <c r="J660" s="25"/>
      <c r="K660" s="1"/>
      <c r="L660" s="1"/>
      <c r="M660" s="1"/>
      <c r="N660" s="25"/>
      <c r="O660" s="25"/>
      <c r="P660" s="24"/>
      <c r="Q660" s="1"/>
      <c r="R660" s="1"/>
      <c r="S660" s="24"/>
      <c r="T660" s="1"/>
      <c r="U660" s="1"/>
      <c r="V660" s="24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24"/>
      <c r="G661" s="1"/>
      <c r="H661" s="1"/>
      <c r="I661" s="1"/>
      <c r="J661" s="25"/>
      <c r="K661" s="1"/>
      <c r="L661" s="1"/>
      <c r="M661" s="1"/>
      <c r="N661" s="25"/>
      <c r="O661" s="25"/>
      <c r="P661" s="24"/>
      <c r="Q661" s="1"/>
      <c r="R661" s="1"/>
      <c r="S661" s="24"/>
      <c r="T661" s="1"/>
      <c r="U661" s="1"/>
      <c r="V661" s="24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24"/>
      <c r="G662" s="1"/>
      <c r="H662" s="1"/>
      <c r="I662" s="1"/>
      <c r="J662" s="25"/>
      <c r="K662" s="1"/>
      <c r="L662" s="1"/>
      <c r="M662" s="1"/>
      <c r="N662" s="25"/>
      <c r="O662" s="25"/>
      <c r="P662" s="24"/>
      <c r="Q662" s="1"/>
      <c r="R662" s="1"/>
      <c r="S662" s="24"/>
      <c r="T662" s="1"/>
      <c r="U662" s="1"/>
      <c r="V662" s="24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24"/>
      <c r="G663" s="1"/>
      <c r="H663" s="1"/>
      <c r="I663" s="1"/>
      <c r="J663" s="25"/>
      <c r="K663" s="1"/>
      <c r="L663" s="1"/>
      <c r="M663" s="1"/>
      <c r="N663" s="25"/>
      <c r="O663" s="25"/>
      <c r="P663" s="24"/>
      <c r="Q663" s="1"/>
      <c r="R663" s="1"/>
      <c r="S663" s="24"/>
      <c r="T663" s="1"/>
      <c r="U663" s="1"/>
      <c r="V663" s="24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24"/>
      <c r="G664" s="1"/>
      <c r="H664" s="1"/>
      <c r="I664" s="1"/>
      <c r="J664" s="25"/>
      <c r="K664" s="1"/>
      <c r="L664" s="1"/>
      <c r="M664" s="1"/>
      <c r="N664" s="25"/>
      <c r="O664" s="25"/>
      <c r="P664" s="24"/>
      <c r="Q664" s="1"/>
      <c r="R664" s="1"/>
      <c r="S664" s="24"/>
      <c r="T664" s="1"/>
      <c r="U664" s="1"/>
      <c r="V664" s="24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24"/>
      <c r="G665" s="1"/>
      <c r="H665" s="1"/>
      <c r="I665" s="1"/>
      <c r="J665" s="25"/>
      <c r="K665" s="1"/>
      <c r="L665" s="1"/>
      <c r="M665" s="1"/>
      <c r="N665" s="25"/>
      <c r="O665" s="25"/>
      <c r="P665" s="24"/>
      <c r="Q665" s="1"/>
      <c r="R665" s="1"/>
      <c r="S665" s="24"/>
      <c r="T665" s="1"/>
      <c r="U665" s="1"/>
      <c r="V665" s="24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24"/>
      <c r="G666" s="1"/>
      <c r="H666" s="1"/>
      <c r="I666" s="1"/>
      <c r="J666" s="25"/>
      <c r="K666" s="1"/>
      <c r="L666" s="1"/>
      <c r="M666" s="1"/>
      <c r="N666" s="25"/>
      <c r="O666" s="25"/>
      <c r="P666" s="24"/>
      <c r="Q666" s="1"/>
      <c r="R666" s="1"/>
      <c r="S666" s="24"/>
      <c r="T666" s="1"/>
      <c r="U666" s="1"/>
      <c r="V666" s="24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24"/>
      <c r="G667" s="1"/>
      <c r="H667" s="1"/>
      <c r="I667" s="1"/>
      <c r="J667" s="25"/>
      <c r="K667" s="1"/>
      <c r="L667" s="1"/>
      <c r="M667" s="1"/>
      <c r="N667" s="25"/>
      <c r="O667" s="25"/>
      <c r="P667" s="24"/>
      <c r="Q667" s="1"/>
      <c r="R667" s="1"/>
      <c r="S667" s="24"/>
      <c r="T667" s="1"/>
      <c r="U667" s="1"/>
      <c r="V667" s="24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24"/>
      <c r="G668" s="1"/>
      <c r="H668" s="1"/>
      <c r="I668" s="1"/>
      <c r="J668" s="25"/>
      <c r="K668" s="1"/>
      <c r="L668" s="1"/>
      <c r="M668" s="1"/>
      <c r="N668" s="25"/>
      <c r="O668" s="25"/>
      <c r="P668" s="24"/>
      <c r="Q668" s="1"/>
      <c r="R668" s="1"/>
      <c r="S668" s="24"/>
      <c r="T668" s="1"/>
      <c r="U668" s="1"/>
      <c r="V668" s="24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24"/>
      <c r="G669" s="1"/>
      <c r="H669" s="1"/>
      <c r="I669" s="1"/>
      <c r="J669" s="25"/>
      <c r="K669" s="1"/>
      <c r="L669" s="1"/>
      <c r="M669" s="1"/>
      <c r="N669" s="25"/>
      <c r="O669" s="25"/>
      <c r="P669" s="24"/>
      <c r="Q669" s="1"/>
      <c r="R669" s="1"/>
      <c r="S669" s="24"/>
      <c r="T669" s="1"/>
      <c r="U669" s="1"/>
      <c r="V669" s="24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24"/>
      <c r="G670" s="1"/>
      <c r="H670" s="1"/>
      <c r="I670" s="1"/>
      <c r="J670" s="25"/>
      <c r="K670" s="1"/>
      <c r="L670" s="1"/>
      <c r="M670" s="1"/>
      <c r="N670" s="25"/>
      <c r="O670" s="25"/>
      <c r="P670" s="24"/>
      <c r="Q670" s="1"/>
      <c r="R670" s="1"/>
      <c r="S670" s="24"/>
      <c r="T670" s="1"/>
      <c r="U670" s="1"/>
      <c r="V670" s="24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24"/>
      <c r="G671" s="1"/>
      <c r="H671" s="1"/>
      <c r="I671" s="1"/>
      <c r="J671" s="25"/>
      <c r="K671" s="1"/>
      <c r="L671" s="1"/>
      <c r="M671" s="1"/>
      <c r="N671" s="25"/>
      <c r="O671" s="25"/>
      <c r="P671" s="24"/>
      <c r="Q671" s="1"/>
      <c r="R671" s="1"/>
      <c r="S671" s="24"/>
      <c r="T671" s="1"/>
      <c r="U671" s="1"/>
      <c r="V671" s="24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24"/>
      <c r="G672" s="1"/>
      <c r="H672" s="1"/>
      <c r="I672" s="1"/>
      <c r="J672" s="25"/>
      <c r="K672" s="1"/>
      <c r="L672" s="1"/>
      <c r="M672" s="1"/>
      <c r="N672" s="25"/>
      <c r="O672" s="25"/>
      <c r="P672" s="24"/>
      <c r="Q672" s="1"/>
      <c r="R672" s="1"/>
      <c r="S672" s="24"/>
      <c r="T672" s="1"/>
      <c r="U672" s="1"/>
      <c r="V672" s="24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24"/>
      <c r="G673" s="1"/>
      <c r="H673" s="1"/>
      <c r="I673" s="1"/>
      <c r="J673" s="25"/>
      <c r="K673" s="1"/>
      <c r="L673" s="1"/>
      <c r="M673" s="1"/>
      <c r="N673" s="25"/>
      <c r="O673" s="25"/>
      <c r="P673" s="24"/>
      <c r="Q673" s="1"/>
      <c r="R673" s="1"/>
      <c r="S673" s="24"/>
      <c r="T673" s="1"/>
      <c r="U673" s="1"/>
      <c r="V673" s="24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24"/>
      <c r="G674" s="1"/>
      <c r="H674" s="1"/>
      <c r="I674" s="1"/>
      <c r="J674" s="25"/>
      <c r="K674" s="1"/>
      <c r="L674" s="1"/>
      <c r="M674" s="1"/>
      <c r="N674" s="25"/>
      <c r="O674" s="25"/>
      <c r="P674" s="24"/>
      <c r="Q674" s="1"/>
      <c r="R674" s="1"/>
      <c r="S674" s="24"/>
      <c r="T674" s="1"/>
      <c r="U674" s="1"/>
      <c r="V674" s="24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24"/>
      <c r="G675" s="1"/>
      <c r="H675" s="1"/>
      <c r="I675" s="1"/>
      <c r="J675" s="25"/>
      <c r="K675" s="1"/>
      <c r="L675" s="1"/>
      <c r="M675" s="1"/>
      <c r="N675" s="25"/>
      <c r="O675" s="25"/>
      <c r="P675" s="24"/>
      <c r="Q675" s="1"/>
      <c r="R675" s="1"/>
      <c r="S675" s="24"/>
      <c r="T675" s="1"/>
      <c r="U675" s="1"/>
      <c r="V675" s="24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24"/>
      <c r="G676" s="1"/>
      <c r="H676" s="1"/>
      <c r="I676" s="1"/>
      <c r="J676" s="25"/>
      <c r="K676" s="1"/>
      <c r="L676" s="1"/>
      <c r="M676" s="1"/>
      <c r="N676" s="25"/>
      <c r="O676" s="25"/>
      <c r="P676" s="24"/>
      <c r="Q676" s="1"/>
      <c r="R676" s="1"/>
      <c r="S676" s="24"/>
      <c r="T676" s="1"/>
      <c r="U676" s="1"/>
      <c r="V676" s="24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24"/>
      <c r="G677" s="1"/>
      <c r="H677" s="1"/>
      <c r="I677" s="1"/>
      <c r="J677" s="25"/>
      <c r="K677" s="1"/>
      <c r="L677" s="1"/>
      <c r="M677" s="1"/>
      <c r="N677" s="25"/>
      <c r="O677" s="25"/>
      <c r="P677" s="24"/>
      <c r="Q677" s="1"/>
      <c r="R677" s="1"/>
      <c r="S677" s="24"/>
      <c r="T677" s="1"/>
      <c r="U677" s="1"/>
      <c r="V677" s="24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24"/>
      <c r="G678" s="1"/>
      <c r="H678" s="1"/>
      <c r="I678" s="1"/>
      <c r="J678" s="25"/>
      <c r="K678" s="1"/>
      <c r="L678" s="1"/>
      <c r="M678" s="1"/>
      <c r="N678" s="25"/>
      <c r="O678" s="25"/>
      <c r="P678" s="24"/>
      <c r="Q678" s="1"/>
      <c r="R678" s="1"/>
      <c r="S678" s="24"/>
      <c r="T678" s="1"/>
      <c r="U678" s="1"/>
      <c r="V678" s="24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24"/>
      <c r="G679" s="1"/>
      <c r="H679" s="1"/>
      <c r="I679" s="1"/>
      <c r="J679" s="25"/>
      <c r="K679" s="1"/>
      <c r="L679" s="1"/>
      <c r="M679" s="1"/>
      <c r="N679" s="25"/>
      <c r="O679" s="25"/>
      <c r="P679" s="24"/>
      <c r="Q679" s="1"/>
      <c r="R679" s="1"/>
      <c r="S679" s="24"/>
      <c r="T679" s="1"/>
      <c r="U679" s="1"/>
      <c r="V679" s="24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24"/>
      <c r="G680" s="1"/>
      <c r="H680" s="1"/>
      <c r="I680" s="1"/>
      <c r="J680" s="25"/>
      <c r="K680" s="1"/>
      <c r="L680" s="1"/>
      <c r="M680" s="1"/>
      <c r="N680" s="25"/>
      <c r="O680" s="25"/>
      <c r="P680" s="24"/>
      <c r="Q680" s="1"/>
      <c r="R680" s="1"/>
      <c r="S680" s="24"/>
      <c r="T680" s="1"/>
      <c r="U680" s="1"/>
      <c r="V680" s="24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24"/>
      <c r="G681" s="1"/>
      <c r="H681" s="1"/>
      <c r="I681" s="1"/>
      <c r="J681" s="25"/>
      <c r="K681" s="1"/>
      <c r="L681" s="1"/>
      <c r="M681" s="1"/>
      <c r="N681" s="25"/>
      <c r="O681" s="25"/>
      <c r="P681" s="24"/>
      <c r="Q681" s="1"/>
      <c r="R681" s="1"/>
      <c r="S681" s="24"/>
      <c r="T681" s="1"/>
      <c r="U681" s="1"/>
      <c r="V681" s="24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24"/>
      <c r="G682" s="1"/>
      <c r="H682" s="1"/>
      <c r="I682" s="1"/>
      <c r="J682" s="25"/>
      <c r="K682" s="1"/>
      <c r="L682" s="1"/>
      <c r="M682" s="1"/>
      <c r="N682" s="25"/>
      <c r="O682" s="25"/>
      <c r="P682" s="24"/>
      <c r="Q682" s="1"/>
      <c r="R682" s="1"/>
      <c r="S682" s="24"/>
      <c r="T682" s="1"/>
      <c r="U682" s="1"/>
      <c r="V682" s="24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24"/>
      <c r="G683" s="1"/>
      <c r="H683" s="1"/>
      <c r="I683" s="1"/>
      <c r="J683" s="25"/>
      <c r="K683" s="1"/>
      <c r="L683" s="1"/>
      <c r="M683" s="1"/>
      <c r="N683" s="25"/>
      <c r="O683" s="25"/>
      <c r="P683" s="24"/>
      <c r="Q683" s="1"/>
      <c r="R683" s="1"/>
      <c r="S683" s="24"/>
      <c r="T683" s="1"/>
      <c r="U683" s="1"/>
      <c r="V683" s="24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24"/>
      <c r="G684" s="1"/>
      <c r="H684" s="1"/>
      <c r="I684" s="1"/>
      <c r="J684" s="25"/>
      <c r="K684" s="1"/>
      <c r="L684" s="1"/>
      <c r="M684" s="1"/>
      <c r="N684" s="25"/>
      <c r="O684" s="25"/>
      <c r="P684" s="24"/>
      <c r="Q684" s="1"/>
      <c r="R684" s="1"/>
      <c r="S684" s="24"/>
      <c r="T684" s="1"/>
      <c r="U684" s="1"/>
      <c r="V684" s="24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24"/>
      <c r="G685" s="1"/>
      <c r="H685" s="1"/>
      <c r="I685" s="1"/>
      <c r="J685" s="25"/>
      <c r="K685" s="1"/>
      <c r="L685" s="1"/>
      <c r="M685" s="1"/>
      <c r="N685" s="25"/>
      <c r="O685" s="25"/>
      <c r="P685" s="24"/>
      <c r="Q685" s="1"/>
      <c r="R685" s="1"/>
      <c r="S685" s="24"/>
      <c r="T685" s="1"/>
      <c r="U685" s="1"/>
      <c r="V685" s="24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24"/>
      <c r="G686" s="1"/>
      <c r="H686" s="1"/>
      <c r="I686" s="1"/>
      <c r="J686" s="25"/>
      <c r="K686" s="1"/>
      <c r="L686" s="1"/>
      <c r="M686" s="1"/>
      <c r="N686" s="25"/>
      <c r="O686" s="25"/>
      <c r="P686" s="24"/>
      <c r="Q686" s="1"/>
      <c r="R686" s="1"/>
      <c r="S686" s="24"/>
      <c r="T686" s="1"/>
      <c r="U686" s="1"/>
      <c r="V686" s="24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24"/>
      <c r="G687" s="1"/>
      <c r="H687" s="1"/>
      <c r="I687" s="1"/>
      <c r="J687" s="25"/>
      <c r="K687" s="1"/>
      <c r="L687" s="1"/>
      <c r="M687" s="1"/>
      <c r="N687" s="25"/>
      <c r="O687" s="25"/>
      <c r="P687" s="24"/>
      <c r="Q687" s="1"/>
      <c r="R687" s="1"/>
      <c r="S687" s="24"/>
      <c r="T687" s="1"/>
      <c r="U687" s="1"/>
      <c r="V687" s="24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24"/>
      <c r="G688" s="1"/>
      <c r="H688" s="1"/>
      <c r="I688" s="1"/>
      <c r="J688" s="25"/>
      <c r="K688" s="1"/>
      <c r="L688" s="1"/>
      <c r="M688" s="1"/>
      <c r="N688" s="25"/>
      <c r="O688" s="25"/>
      <c r="P688" s="24"/>
      <c r="Q688" s="1"/>
      <c r="R688" s="1"/>
      <c r="S688" s="24"/>
      <c r="T688" s="1"/>
      <c r="U688" s="1"/>
      <c r="V688" s="24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24"/>
      <c r="G689" s="1"/>
      <c r="H689" s="1"/>
      <c r="I689" s="1"/>
      <c r="J689" s="25"/>
      <c r="K689" s="1"/>
      <c r="L689" s="1"/>
      <c r="M689" s="1"/>
      <c r="N689" s="25"/>
      <c r="O689" s="25"/>
      <c r="P689" s="24"/>
      <c r="Q689" s="1"/>
      <c r="R689" s="1"/>
      <c r="S689" s="24"/>
      <c r="T689" s="1"/>
      <c r="U689" s="1"/>
      <c r="V689" s="24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24"/>
      <c r="G690" s="1"/>
      <c r="H690" s="1"/>
      <c r="I690" s="1"/>
      <c r="J690" s="25"/>
      <c r="K690" s="1"/>
      <c r="L690" s="1"/>
      <c r="M690" s="1"/>
      <c r="N690" s="25"/>
      <c r="O690" s="25"/>
      <c r="P690" s="24"/>
      <c r="Q690" s="1"/>
      <c r="R690" s="1"/>
      <c r="S690" s="24"/>
      <c r="T690" s="1"/>
      <c r="U690" s="1"/>
      <c r="V690" s="24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24"/>
      <c r="G691" s="1"/>
      <c r="H691" s="1"/>
      <c r="I691" s="1"/>
      <c r="J691" s="25"/>
      <c r="K691" s="1"/>
      <c r="L691" s="1"/>
      <c r="M691" s="1"/>
      <c r="N691" s="25"/>
      <c r="O691" s="25"/>
      <c r="P691" s="24"/>
      <c r="Q691" s="1"/>
      <c r="R691" s="1"/>
      <c r="S691" s="24"/>
      <c r="T691" s="1"/>
      <c r="U691" s="1"/>
      <c r="V691" s="24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24"/>
      <c r="G692" s="1"/>
      <c r="H692" s="1"/>
      <c r="I692" s="1"/>
      <c r="J692" s="25"/>
      <c r="K692" s="1"/>
      <c r="L692" s="1"/>
      <c r="M692" s="1"/>
      <c r="N692" s="25"/>
      <c r="O692" s="25"/>
      <c r="P692" s="24"/>
      <c r="Q692" s="1"/>
      <c r="R692" s="1"/>
      <c r="S692" s="24"/>
      <c r="T692" s="1"/>
      <c r="U692" s="1"/>
      <c r="V692" s="24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24"/>
      <c r="G693" s="1"/>
      <c r="H693" s="1"/>
      <c r="I693" s="1"/>
      <c r="J693" s="25"/>
      <c r="K693" s="1"/>
      <c r="L693" s="1"/>
      <c r="M693" s="1"/>
      <c r="N693" s="25"/>
      <c r="O693" s="25"/>
      <c r="P693" s="24"/>
      <c r="Q693" s="1"/>
      <c r="R693" s="1"/>
      <c r="S693" s="24"/>
      <c r="T693" s="1"/>
      <c r="U693" s="1"/>
      <c r="V693" s="24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24"/>
      <c r="G694" s="1"/>
      <c r="H694" s="1"/>
      <c r="I694" s="1"/>
      <c r="J694" s="25"/>
      <c r="K694" s="1"/>
      <c r="L694" s="1"/>
      <c r="M694" s="1"/>
      <c r="N694" s="25"/>
      <c r="O694" s="25"/>
      <c r="P694" s="24"/>
      <c r="Q694" s="1"/>
      <c r="R694" s="1"/>
      <c r="S694" s="24"/>
      <c r="T694" s="1"/>
      <c r="U694" s="1"/>
      <c r="V694" s="24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24"/>
      <c r="G695" s="1"/>
      <c r="H695" s="1"/>
      <c r="I695" s="1"/>
      <c r="J695" s="25"/>
      <c r="K695" s="1"/>
      <c r="L695" s="1"/>
      <c r="M695" s="1"/>
      <c r="N695" s="25"/>
      <c r="O695" s="25"/>
      <c r="P695" s="24"/>
      <c r="Q695" s="1"/>
      <c r="R695" s="1"/>
      <c r="S695" s="24"/>
      <c r="T695" s="1"/>
      <c r="U695" s="1"/>
      <c r="V695" s="24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24"/>
      <c r="G696" s="1"/>
      <c r="H696" s="1"/>
      <c r="I696" s="1"/>
      <c r="J696" s="25"/>
      <c r="K696" s="1"/>
      <c r="L696" s="1"/>
      <c r="M696" s="1"/>
      <c r="N696" s="25"/>
      <c r="O696" s="25"/>
      <c r="P696" s="24"/>
      <c r="Q696" s="1"/>
      <c r="R696" s="1"/>
      <c r="S696" s="24"/>
      <c r="T696" s="1"/>
      <c r="U696" s="1"/>
      <c r="V696" s="24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24"/>
      <c r="G697" s="1"/>
      <c r="H697" s="1"/>
      <c r="I697" s="1"/>
      <c r="J697" s="25"/>
      <c r="K697" s="1"/>
      <c r="L697" s="1"/>
      <c r="M697" s="1"/>
      <c r="N697" s="25"/>
      <c r="O697" s="25"/>
      <c r="P697" s="24"/>
      <c r="Q697" s="1"/>
      <c r="R697" s="1"/>
      <c r="S697" s="24"/>
      <c r="T697" s="1"/>
      <c r="U697" s="1"/>
      <c r="V697" s="24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24"/>
      <c r="G698" s="1"/>
      <c r="H698" s="1"/>
      <c r="I698" s="1"/>
      <c r="J698" s="25"/>
      <c r="K698" s="1"/>
      <c r="L698" s="1"/>
      <c r="M698" s="1"/>
      <c r="N698" s="25"/>
      <c r="O698" s="25"/>
      <c r="P698" s="24"/>
      <c r="Q698" s="1"/>
      <c r="R698" s="1"/>
      <c r="S698" s="24"/>
      <c r="T698" s="1"/>
      <c r="U698" s="1"/>
      <c r="V698" s="24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24"/>
      <c r="G699" s="1"/>
      <c r="H699" s="1"/>
      <c r="I699" s="1"/>
      <c r="J699" s="25"/>
      <c r="K699" s="1"/>
      <c r="L699" s="1"/>
      <c r="M699" s="1"/>
      <c r="N699" s="25"/>
      <c r="O699" s="25"/>
      <c r="P699" s="24"/>
      <c r="Q699" s="1"/>
      <c r="R699" s="1"/>
      <c r="S699" s="24"/>
      <c r="T699" s="1"/>
      <c r="U699" s="1"/>
      <c r="V699" s="24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24"/>
      <c r="G700" s="1"/>
      <c r="H700" s="1"/>
      <c r="I700" s="1"/>
      <c r="J700" s="25"/>
      <c r="K700" s="1"/>
      <c r="L700" s="1"/>
      <c r="M700" s="1"/>
      <c r="N700" s="25"/>
      <c r="O700" s="25"/>
      <c r="P700" s="24"/>
      <c r="Q700" s="1"/>
      <c r="R700" s="1"/>
      <c r="S700" s="24"/>
      <c r="T700" s="1"/>
      <c r="U700" s="1"/>
      <c r="V700" s="24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24"/>
      <c r="G701" s="1"/>
      <c r="H701" s="1"/>
      <c r="I701" s="1"/>
      <c r="J701" s="25"/>
      <c r="K701" s="1"/>
      <c r="L701" s="1"/>
      <c r="M701" s="1"/>
      <c r="N701" s="25"/>
      <c r="O701" s="25"/>
      <c r="P701" s="24"/>
      <c r="Q701" s="1"/>
      <c r="R701" s="1"/>
      <c r="S701" s="24"/>
      <c r="T701" s="1"/>
      <c r="U701" s="1"/>
      <c r="V701" s="24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24"/>
      <c r="G702" s="1"/>
      <c r="H702" s="1"/>
      <c r="I702" s="1"/>
      <c r="J702" s="25"/>
      <c r="K702" s="1"/>
      <c r="L702" s="1"/>
      <c r="M702" s="1"/>
      <c r="N702" s="25"/>
      <c r="O702" s="25"/>
      <c r="P702" s="24"/>
      <c r="Q702" s="1"/>
      <c r="R702" s="1"/>
      <c r="S702" s="24"/>
      <c r="T702" s="1"/>
      <c r="U702" s="1"/>
      <c r="V702" s="24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24"/>
      <c r="G703" s="1"/>
      <c r="H703" s="1"/>
      <c r="I703" s="1"/>
      <c r="J703" s="25"/>
      <c r="K703" s="1"/>
      <c r="L703" s="1"/>
      <c r="M703" s="1"/>
      <c r="N703" s="25"/>
      <c r="O703" s="25"/>
      <c r="P703" s="24"/>
      <c r="Q703" s="1"/>
      <c r="R703" s="1"/>
      <c r="S703" s="24"/>
      <c r="T703" s="1"/>
      <c r="U703" s="1"/>
      <c r="V703" s="24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24"/>
      <c r="G704" s="1"/>
      <c r="H704" s="1"/>
      <c r="I704" s="1"/>
      <c r="J704" s="25"/>
      <c r="K704" s="1"/>
      <c r="L704" s="1"/>
      <c r="M704" s="1"/>
      <c r="N704" s="25"/>
      <c r="O704" s="25"/>
      <c r="P704" s="24"/>
      <c r="Q704" s="1"/>
      <c r="R704" s="1"/>
      <c r="S704" s="24"/>
      <c r="T704" s="1"/>
      <c r="U704" s="1"/>
      <c r="V704" s="24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24"/>
      <c r="G705" s="1"/>
      <c r="H705" s="1"/>
      <c r="I705" s="1"/>
      <c r="J705" s="25"/>
      <c r="K705" s="1"/>
      <c r="L705" s="1"/>
      <c r="M705" s="1"/>
      <c r="N705" s="25"/>
      <c r="O705" s="25"/>
      <c r="P705" s="24"/>
      <c r="Q705" s="1"/>
      <c r="R705" s="1"/>
      <c r="S705" s="24"/>
      <c r="T705" s="1"/>
      <c r="U705" s="1"/>
      <c r="V705" s="24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24"/>
      <c r="G706" s="1"/>
      <c r="H706" s="1"/>
      <c r="I706" s="1"/>
      <c r="J706" s="25"/>
      <c r="K706" s="1"/>
      <c r="L706" s="1"/>
      <c r="M706" s="1"/>
      <c r="N706" s="25"/>
      <c r="O706" s="25"/>
      <c r="P706" s="24"/>
      <c r="Q706" s="1"/>
      <c r="R706" s="1"/>
      <c r="S706" s="24"/>
      <c r="T706" s="1"/>
      <c r="U706" s="1"/>
      <c r="V706" s="24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24"/>
      <c r="G707" s="1"/>
      <c r="H707" s="1"/>
      <c r="I707" s="1"/>
      <c r="J707" s="25"/>
      <c r="K707" s="1"/>
      <c r="L707" s="1"/>
      <c r="M707" s="1"/>
      <c r="N707" s="25"/>
      <c r="O707" s="25"/>
      <c r="P707" s="24"/>
      <c r="Q707" s="1"/>
      <c r="R707" s="1"/>
      <c r="S707" s="24"/>
      <c r="T707" s="1"/>
      <c r="U707" s="1"/>
      <c r="V707" s="24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24"/>
      <c r="G708" s="1"/>
      <c r="H708" s="1"/>
      <c r="I708" s="1"/>
      <c r="J708" s="25"/>
      <c r="K708" s="1"/>
      <c r="L708" s="1"/>
      <c r="M708" s="1"/>
      <c r="N708" s="25"/>
      <c r="O708" s="25"/>
      <c r="P708" s="24"/>
      <c r="Q708" s="1"/>
      <c r="R708" s="1"/>
      <c r="S708" s="24"/>
      <c r="T708" s="1"/>
      <c r="U708" s="1"/>
      <c r="V708" s="24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24"/>
      <c r="G709" s="1"/>
      <c r="H709" s="1"/>
      <c r="I709" s="1"/>
      <c r="J709" s="25"/>
      <c r="K709" s="1"/>
      <c r="L709" s="1"/>
      <c r="M709" s="1"/>
      <c r="N709" s="25"/>
      <c r="O709" s="25"/>
      <c r="P709" s="24"/>
      <c r="Q709" s="1"/>
      <c r="R709" s="1"/>
      <c r="S709" s="24"/>
      <c r="T709" s="1"/>
      <c r="U709" s="1"/>
      <c r="V709" s="24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24"/>
      <c r="G710" s="1"/>
      <c r="H710" s="1"/>
      <c r="I710" s="1"/>
      <c r="J710" s="25"/>
      <c r="K710" s="1"/>
      <c r="L710" s="1"/>
      <c r="M710" s="1"/>
      <c r="N710" s="25"/>
      <c r="O710" s="25"/>
      <c r="P710" s="24"/>
      <c r="Q710" s="1"/>
      <c r="R710" s="1"/>
      <c r="S710" s="24"/>
      <c r="T710" s="1"/>
      <c r="U710" s="1"/>
      <c r="V710" s="24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24"/>
      <c r="G711" s="1"/>
      <c r="H711" s="1"/>
      <c r="I711" s="1"/>
      <c r="J711" s="25"/>
      <c r="K711" s="1"/>
      <c r="L711" s="1"/>
      <c r="M711" s="1"/>
      <c r="N711" s="25"/>
      <c r="O711" s="25"/>
      <c r="P711" s="24"/>
      <c r="Q711" s="1"/>
      <c r="R711" s="1"/>
      <c r="S711" s="24"/>
      <c r="T711" s="1"/>
      <c r="U711" s="1"/>
      <c r="V711" s="24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24"/>
      <c r="G712" s="1"/>
      <c r="H712" s="1"/>
      <c r="I712" s="1"/>
      <c r="J712" s="25"/>
      <c r="K712" s="1"/>
      <c r="L712" s="1"/>
      <c r="M712" s="1"/>
      <c r="N712" s="25"/>
      <c r="O712" s="25"/>
      <c r="P712" s="24"/>
      <c r="Q712" s="1"/>
      <c r="R712" s="1"/>
      <c r="S712" s="24"/>
      <c r="T712" s="1"/>
      <c r="U712" s="1"/>
      <c r="V712" s="24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24"/>
      <c r="G713" s="1"/>
      <c r="H713" s="1"/>
      <c r="I713" s="1"/>
      <c r="J713" s="25"/>
      <c r="K713" s="1"/>
      <c r="L713" s="1"/>
      <c r="M713" s="1"/>
      <c r="N713" s="25"/>
      <c r="O713" s="25"/>
      <c r="P713" s="24"/>
      <c r="Q713" s="1"/>
      <c r="R713" s="1"/>
      <c r="S713" s="24"/>
      <c r="T713" s="1"/>
      <c r="U713" s="1"/>
      <c r="V713" s="24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24"/>
      <c r="G714" s="1"/>
      <c r="H714" s="1"/>
      <c r="I714" s="1"/>
      <c r="J714" s="25"/>
      <c r="K714" s="1"/>
      <c r="L714" s="1"/>
      <c r="M714" s="1"/>
      <c r="N714" s="25"/>
      <c r="O714" s="25"/>
      <c r="P714" s="24"/>
      <c r="Q714" s="1"/>
      <c r="R714" s="1"/>
      <c r="S714" s="24"/>
      <c r="T714" s="1"/>
      <c r="U714" s="1"/>
      <c r="V714" s="24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24"/>
      <c r="G715" s="1"/>
      <c r="H715" s="1"/>
      <c r="I715" s="1"/>
      <c r="J715" s="25"/>
      <c r="K715" s="1"/>
      <c r="L715" s="1"/>
      <c r="M715" s="1"/>
      <c r="N715" s="25"/>
      <c r="O715" s="25"/>
      <c r="P715" s="24"/>
      <c r="Q715" s="1"/>
      <c r="R715" s="1"/>
      <c r="S715" s="24"/>
      <c r="T715" s="1"/>
      <c r="U715" s="1"/>
      <c r="V715" s="24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24"/>
      <c r="G716" s="1"/>
      <c r="H716" s="1"/>
      <c r="I716" s="1"/>
      <c r="J716" s="25"/>
      <c r="K716" s="1"/>
      <c r="L716" s="1"/>
      <c r="M716" s="1"/>
      <c r="N716" s="25"/>
      <c r="O716" s="25"/>
      <c r="P716" s="24"/>
      <c r="Q716" s="1"/>
      <c r="R716" s="1"/>
      <c r="S716" s="24"/>
      <c r="T716" s="1"/>
      <c r="U716" s="1"/>
      <c r="V716" s="24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24"/>
      <c r="G717" s="1"/>
      <c r="H717" s="1"/>
      <c r="I717" s="1"/>
      <c r="J717" s="25"/>
      <c r="K717" s="1"/>
      <c r="L717" s="1"/>
      <c r="M717" s="1"/>
      <c r="N717" s="25"/>
      <c r="O717" s="25"/>
      <c r="P717" s="24"/>
      <c r="Q717" s="1"/>
      <c r="R717" s="1"/>
      <c r="S717" s="24"/>
      <c r="T717" s="1"/>
      <c r="U717" s="1"/>
      <c r="V717" s="24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24"/>
      <c r="G718" s="1"/>
      <c r="H718" s="1"/>
      <c r="I718" s="1"/>
      <c r="J718" s="25"/>
      <c r="K718" s="1"/>
      <c r="L718" s="1"/>
      <c r="M718" s="1"/>
      <c r="N718" s="25"/>
      <c r="O718" s="25"/>
      <c r="P718" s="24"/>
      <c r="Q718" s="1"/>
      <c r="R718" s="1"/>
      <c r="S718" s="24"/>
      <c r="T718" s="1"/>
      <c r="U718" s="1"/>
      <c r="V718" s="24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24"/>
      <c r="G719" s="1"/>
      <c r="H719" s="1"/>
      <c r="I719" s="1"/>
      <c r="J719" s="25"/>
      <c r="K719" s="1"/>
      <c r="L719" s="1"/>
      <c r="M719" s="1"/>
      <c r="N719" s="25"/>
      <c r="O719" s="25"/>
      <c r="P719" s="24"/>
      <c r="Q719" s="1"/>
      <c r="R719" s="1"/>
      <c r="S719" s="24"/>
      <c r="T719" s="1"/>
      <c r="U719" s="1"/>
      <c r="V719" s="24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24"/>
      <c r="G720" s="1"/>
      <c r="H720" s="1"/>
      <c r="I720" s="1"/>
      <c r="J720" s="25"/>
      <c r="K720" s="1"/>
      <c r="L720" s="1"/>
      <c r="M720" s="1"/>
      <c r="N720" s="25"/>
      <c r="O720" s="25"/>
      <c r="P720" s="24"/>
      <c r="Q720" s="1"/>
      <c r="R720" s="1"/>
      <c r="S720" s="24"/>
      <c r="T720" s="1"/>
      <c r="U720" s="1"/>
      <c r="V720" s="24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24"/>
      <c r="G721" s="1"/>
      <c r="H721" s="1"/>
      <c r="I721" s="1"/>
      <c r="J721" s="25"/>
      <c r="K721" s="1"/>
      <c r="L721" s="1"/>
      <c r="M721" s="1"/>
      <c r="N721" s="25"/>
      <c r="O721" s="25"/>
      <c r="P721" s="24"/>
      <c r="Q721" s="1"/>
      <c r="R721" s="1"/>
      <c r="S721" s="24"/>
      <c r="T721" s="1"/>
      <c r="U721" s="1"/>
      <c r="V721" s="24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24"/>
      <c r="G722" s="1"/>
      <c r="H722" s="1"/>
      <c r="I722" s="1"/>
      <c r="J722" s="25"/>
      <c r="K722" s="1"/>
      <c r="L722" s="1"/>
      <c r="M722" s="1"/>
      <c r="N722" s="25"/>
      <c r="O722" s="25"/>
      <c r="P722" s="24"/>
      <c r="Q722" s="1"/>
      <c r="R722" s="1"/>
      <c r="S722" s="24"/>
      <c r="T722" s="1"/>
      <c r="U722" s="1"/>
      <c r="V722" s="24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24"/>
      <c r="G723" s="1"/>
      <c r="H723" s="1"/>
      <c r="I723" s="1"/>
      <c r="J723" s="25"/>
      <c r="K723" s="1"/>
      <c r="L723" s="1"/>
      <c r="M723" s="1"/>
      <c r="N723" s="25"/>
      <c r="O723" s="25"/>
      <c r="P723" s="24"/>
      <c r="Q723" s="1"/>
      <c r="R723" s="1"/>
      <c r="S723" s="24"/>
      <c r="T723" s="1"/>
      <c r="U723" s="1"/>
      <c r="V723" s="24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24"/>
      <c r="G724" s="1"/>
      <c r="H724" s="1"/>
      <c r="I724" s="1"/>
      <c r="J724" s="25"/>
      <c r="K724" s="1"/>
      <c r="L724" s="1"/>
      <c r="M724" s="1"/>
      <c r="N724" s="25"/>
      <c r="O724" s="25"/>
      <c r="P724" s="24"/>
      <c r="Q724" s="1"/>
      <c r="R724" s="1"/>
      <c r="S724" s="24"/>
      <c r="T724" s="1"/>
      <c r="U724" s="1"/>
      <c r="V724" s="24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24"/>
      <c r="G725" s="1"/>
      <c r="H725" s="1"/>
      <c r="I725" s="1"/>
      <c r="J725" s="25"/>
      <c r="K725" s="1"/>
      <c r="L725" s="1"/>
      <c r="M725" s="1"/>
      <c r="N725" s="25"/>
      <c r="O725" s="25"/>
      <c r="P725" s="24"/>
      <c r="Q725" s="1"/>
      <c r="R725" s="1"/>
      <c r="S725" s="24"/>
      <c r="T725" s="1"/>
      <c r="U725" s="1"/>
      <c r="V725" s="24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24"/>
      <c r="G726" s="1"/>
      <c r="H726" s="1"/>
      <c r="I726" s="1"/>
      <c r="J726" s="25"/>
      <c r="K726" s="1"/>
      <c r="L726" s="1"/>
      <c r="M726" s="1"/>
      <c r="N726" s="25"/>
      <c r="O726" s="25"/>
      <c r="P726" s="24"/>
      <c r="Q726" s="1"/>
      <c r="R726" s="1"/>
      <c r="S726" s="24"/>
      <c r="T726" s="1"/>
      <c r="U726" s="1"/>
      <c r="V726" s="24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24"/>
      <c r="G727" s="1"/>
      <c r="H727" s="1"/>
      <c r="I727" s="1"/>
      <c r="J727" s="25"/>
      <c r="K727" s="1"/>
      <c r="L727" s="1"/>
      <c r="M727" s="1"/>
      <c r="N727" s="25"/>
      <c r="O727" s="25"/>
      <c r="P727" s="24"/>
      <c r="Q727" s="1"/>
      <c r="R727" s="1"/>
      <c r="S727" s="24"/>
      <c r="T727" s="1"/>
      <c r="U727" s="1"/>
      <c r="V727" s="24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24"/>
      <c r="G728" s="1"/>
      <c r="H728" s="1"/>
      <c r="I728" s="1"/>
      <c r="J728" s="25"/>
      <c r="K728" s="1"/>
      <c r="L728" s="1"/>
      <c r="M728" s="1"/>
      <c r="N728" s="25"/>
      <c r="O728" s="25"/>
      <c r="P728" s="24"/>
      <c r="Q728" s="1"/>
      <c r="R728" s="1"/>
      <c r="S728" s="24"/>
      <c r="T728" s="1"/>
      <c r="U728" s="1"/>
      <c r="V728" s="24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24"/>
      <c r="G729" s="1"/>
      <c r="H729" s="1"/>
      <c r="I729" s="1"/>
      <c r="J729" s="25"/>
      <c r="K729" s="1"/>
      <c r="L729" s="1"/>
      <c r="M729" s="1"/>
      <c r="N729" s="25"/>
      <c r="O729" s="25"/>
      <c r="P729" s="24"/>
      <c r="Q729" s="1"/>
      <c r="R729" s="1"/>
      <c r="S729" s="24"/>
      <c r="T729" s="1"/>
      <c r="U729" s="1"/>
      <c r="V729" s="24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24"/>
      <c r="G730" s="1"/>
      <c r="H730" s="1"/>
      <c r="I730" s="1"/>
      <c r="J730" s="25"/>
      <c r="K730" s="1"/>
      <c r="L730" s="1"/>
      <c r="M730" s="1"/>
      <c r="N730" s="25"/>
      <c r="O730" s="25"/>
      <c r="P730" s="24"/>
      <c r="Q730" s="1"/>
      <c r="R730" s="1"/>
      <c r="S730" s="24"/>
      <c r="T730" s="1"/>
      <c r="U730" s="1"/>
      <c r="V730" s="24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24"/>
      <c r="G731" s="1"/>
      <c r="H731" s="1"/>
      <c r="I731" s="1"/>
      <c r="J731" s="25"/>
      <c r="K731" s="1"/>
      <c r="L731" s="1"/>
      <c r="M731" s="1"/>
      <c r="N731" s="25"/>
      <c r="O731" s="25"/>
      <c r="P731" s="24"/>
      <c r="Q731" s="1"/>
      <c r="R731" s="1"/>
      <c r="S731" s="24"/>
      <c r="T731" s="1"/>
      <c r="U731" s="1"/>
      <c r="V731" s="24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24"/>
      <c r="G732" s="1"/>
      <c r="H732" s="1"/>
      <c r="I732" s="1"/>
      <c r="J732" s="25"/>
      <c r="K732" s="1"/>
      <c r="L732" s="1"/>
      <c r="M732" s="1"/>
      <c r="N732" s="25"/>
      <c r="O732" s="25"/>
      <c r="P732" s="24"/>
      <c r="Q732" s="1"/>
      <c r="R732" s="1"/>
      <c r="S732" s="24"/>
      <c r="T732" s="1"/>
      <c r="U732" s="1"/>
      <c r="V732" s="24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24"/>
      <c r="G733" s="1"/>
      <c r="H733" s="1"/>
      <c r="I733" s="1"/>
      <c r="J733" s="25"/>
      <c r="K733" s="1"/>
      <c r="L733" s="1"/>
      <c r="M733" s="1"/>
      <c r="N733" s="25"/>
      <c r="O733" s="25"/>
      <c r="P733" s="24"/>
      <c r="Q733" s="1"/>
      <c r="R733" s="1"/>
      <c r="S733" s="24"/>
      <c r="T733" s="1"/>
      <c r="U733" s="1"/>
      <c r="V733" s="24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24"/>
      <c r="G734" s="1"/>
      <c r="H734" s="1"/>
      <c r="I734" s="1"/>
      <c r="J734" s="25"/>
      <c r="K734" s="1"/>
      <c r="L734" s="1"/>
      <c r="M734" s="1"/>
      <c r="N734" s="25"/>
      <c r="O734" s="25"/>
      <c r="P734" s="24"/>
      <c r="Q734" s="1"/>
      <c r="R734" s="1"/>
      <c r="S734" s="24"/>
      <c r="T734" s="1"/>
      <c r="U734" s="1"/>
      <c r="V734" s="24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24"/>
      <c r="G735" s="1"/>
      <c r="H735" s="1"/>
      <c r="I735" s="1"/>
      <c r="J735" s="25"/>
      <c r="K735" s="1"/>
      <c r="L735" s="1"/>
      <c r="M735" s="1"/>
      <c r="N735" s="25"/>
      <c r="O735" s="25"/>
      <c r="P735" s="24"/>
      <c r="Q735" s="1"/>
      <c r="R735" s="1"/>
      <c r="S735" s="24"/>
      <c r="T735" s="1"/>
      <c r="U735" s="1"/>
      <c r="V735" s="24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24"/>
      <c r="G736" s="1"/>
      <c r="H736" s="1"/>
      <c r="I736" s="1"/>
      <c r="J736" s="25"/>
      <c r="K736" s="1"/>
      <c r="L736" s="1"/>
      <c r="M736" s="1"/>
      <c r="N736" s="25"/>
      <c r="O736" s="25"/>
      <c r="P736" s="24"/>
      <c r="Q736" s="1"/>
      <c r="R736" s="1"/>
      <c r="S736" s="24"/>
      <c r="T736" s="1"/>
      <c r="U736" s="1"/>
      <c r="V736" s="24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24"/>
      <c r="G737" s="1"/>
      <c r="H737" s="1"/>
      <c r="I737" s="1"/>
      <c r="J737" s="25"/>
      <c r="K737" s="1"/>
      <c r="L737" s="1"/>
      <c r="M737" s="1"/>
      <c r="N737" s="25"/>
      <c r="O737" s="25"/>
      <c r="P737" s="24"/>
      <c r="Q737" s="1"/>
      <c r="R737" s="1"/>
      <c r="S737" s="24"/>
      <c r="T737" s="1"/>
      <c r="U737" s="1"/>
      <c r="V737" s="24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24"/>
      <c r="G738" s="1"/>
      <c r="H738" s="1"/>
      <c r="I738" s="1"/>
      <c r="J738" s="25"/>
      <c r="K738" s="1"/>
      <c r="L738" s="1"/>
      <c r="M738" s="1"/>
      <c r="N738" s="25"/>
      <c r="O738" s="25"/>
      <c r="P738" s="24"/>
      <c r="Q738" s="1"/>
      <c r="R738" s="1"/>
      <c r="S738" s="24"/>
      <c r="T738" s="1"/>
      <c r="U738" s="1"/>
      <c r="V738" s="24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24"/>
      <c r="G739" s="1"/>
      <c r="H739" s="1"/>
      <c r="I739" s="1"/>
      <c r="J739" s="25"/>
      <c r="K739" s="1"/>
      <c r="L739" s="1"/>
      <c r="M739" s="1"/>
      <c r="N739" s="25"/>
      <c r="O739" s="25"/>
      <c r="P739" s="24"/>
      <c r="Q739" s="1"/>
      <c r="R739" s="1"/>
      <c r="S739" s="24"/>
      <c r="T739" s="1"/>
      <c r="U739" s="1"/>
      <c r="V739" s="24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24"/>
      <c r="G740" s="1"/>
      <c r="H740" s="1"/>
      <c r="I740" s="1"/>
      <c r="J740" s="25"/>
      <c r="K740" s="1"/>
      <c r="L740" s="1"/>
      <c r="M740" s="1"/>
      <c r="N740" s="25"/>
      <c r="O740" s="25"/>
      <c r="P740" s="24"/>
      <c r="Q740" s="1"/>
      <c r="R740" s="1"/>
      <c r="S740" s="24"/>
      <c r="T740" s="1"/>
      <c r="U740" s="1"/>
      <c r="V740" s="24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24"/>
      <c r="G741" s="1"/>
      <c r="H741" s="1"/>
      <c r="I741" s="1"/>
      <c r="J741" s="25"/>
      <c r="K741" s="1"/>
      <c r="L741" s="1"/>
      <c r="M741" s="1"/>
      <c r="N741" s="25"/>
      <c r="O741" s="25"/>
      <c r="P741" s="24"/>
      <c r="Q741" s="1"/>
      <c r="R741" s="1"/>
      <c r="S741" s="24"/>
      <c r="T741" s="1"/>
      <c r="U741" s="1"/>
      <c r="V741" s="24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24"/>
      <c r="G742" s="1"/>
      <c r="H742" s="1"/>
      <c r="I742" s="1"/>
      <c r="J742" s="25"/>
      <c r="K742" s="1"/>
      <c r="L742" s="1"/>
      <c r="M742" s="1"/>
      <c r="N742" s="25"/>
      <c r="O742" s="25"/>
      <c r="P742" s="24"/>
      <c r="Q742" s="1"/>
      <c r="R742" s="1"/>
      <c r="S742" s="24"/>
      <c r="T742" s="1"/>
      <c r="U742" s="1"/>
      <c r="V742" s="24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24"/>
      <c r="G743" s="1"/>
      <c r="H743" s="1"/>
      <c r="I743" s="1"/>
      <c r="J743" s="25"/>
      <c r="K743" s="1"/>
      <c r="L743" s="1"/>
      <c r="M743" s="1"/>
      <c r="N743" s="25"/>
      <c r="O743" s="25"/>
      <c r="P743" s="24"/>
      <c r="Q743" s="1"/>
      <c r="R743" s="1"/>
      <c r="S743" s="24"/>
      <c r="T743" s="1"/>
      <c r="U743" s="1"/>
      <c r="V743" s="24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24"/>
      <c r="G744" s="1"/>
      <c r="H744" s="1"/>
      <c r="I744" s="1"/>
      <c r="J744" s="25"/>
      <c r="K744" s="1"/>
      <c r="L744" s="1"/>
      <c r="M744" s="1"/>
      <c r="N744" s="25"/>
      <c r="O744" s="25"/>
      <c r="P744" s="24"/>
      <c r="Q744" s="1"/>
      <c r="R744" s="1"/>
      <c r="S744" s="24"/>
      <c r="T744" s="1"/>
      <c r="U744" s="1"/>
      <c r="V744" s="24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24"/>
      <c r="G745" s="1"/>
      <c r="H745" s="1"/>
      <c r="I745" s="1"/>
      <c r="J745" s="25"/>
      <c r="K745" s="1"/>
      <c r="L745" s="1"/>
      <c r="M745" s="1"/>
      <c r="N745" s="25"/>
      <c r="O745" s="25"/>
      <c r="P745" s="24"/>
      <c r="Q745" s="1"/>
      <c r="R745" s="1"/>
      <c r="S745" s="24"/>
      <c r="T745" s="1"/>
      <c r="U745" s="1"/>
      <c r="V745" s="24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24"/>
      <c r="G746" s="1"/>
      <c r="H746" s="1"/>
      <c r="I746" s="1"/>
      <c r="J746" s="25"/>
      <c r="K746" s="1"/>
      <c r="L746" s="1"/>
      <c r="M746" s="1"/>
      <c r="N746" s="25"/>
      <c r="O746" s="25"/>
      <c r="P746" s="24"/>
      <c r="Q746" s="1"/>
      <c r="R746" s="1"/>
      <c r="S746" s="24"/>
      <c r="T746" s="1"/>
      <c r="U746" s="1"/>
      <c r="V746" s="24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24"/>
      <c r="G747" s="1"/>
      <c r="H747" s="1"/>
      <c r="I747" s="1"/>
      <c r="J747" s="25"/>
      <c r="K747" s="1"/>
      <c r="L747" s="1"/>
      <c r="M747" s="1"/>
      <c r="N747" s="25"/>
      <c r="O747" s="25"/>
      <c r="P747" s="24"/>
      <c r="Q747" s="1"/>
      <c r="R747" s="1"/>
      <c r="S747" s="24"/>
      <c r="T747" s="1"/>
      <c r="U747" s="1"/>
      <c r="V747" s="24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24"/>
      <c r="G748" s="1"/>
      <c r="H748" s="1"/>
      <c r="I748" s="1"/>
      <c r="J748" s="25"/>
      <c r="K748" s="1"/>
      <c r="L748" s="1"/>
      <c r="M748" s="1"/>
      <c r="N748" s="25"/>
      <c r="O748" s="25"/>
      <c r="P748" s="24"/>
      <c r="Q748" s="1"/>
      <c r="R748" s="1"/>
      <c r="S748" s="24"/>
      <c r="T748" s="1"/>
      <c r="U748" s="1"/>
      <c r="V748" s="24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24"/>
      <c r="G749" s="1"/>
      <c r="H749" s="1"/>
      <c r="I749" s="1"/>
      <c r="J749" s="25"/>
      <c r="K749" s="1"/>
      <c r="L749" s="1"/>
      <c r="M749" s="1"/>
      <c r="N749" s="25"/>
      <c r="O749" s="25"/>
      <c r="P749" s="24"/>
      <c r="Q749" s="1"/>
      <c r="R749" s="1"/>
      <c r="S749" s="24"/>
      <c r="T749" s="1"/>
      <c r="U749" s="1"/>
      <c r="V749" s="24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24"/>
      <c r="G750" s="1"/>
      <c r="H750" s="1"/>
      <c r="I750" s="1"/>
      <c r="J750" s="25"/>
      <c r="K750" s="1"/>
      <c r="L750" s="1"/>
      <c r="M750" s="1"/>
      <c r="N750" s="25"/>
      <c r="O750" s="25"/>
      <c r="P750" s="24"/>
      <c r="Q750" s="1"/>
      <c r="R750" s="1"/>
      <c r="S750" s="24"/>
      <c r="T750" s="1"/>
      <c r="U750" s="1"/>
      <c r="V750" s="24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24"/>
      <c r="G751" s="1"/>
      <c r="H751" s="1"/>
      <c r="I751" s="1"/>
      <c r="J751" s="25"/>
      <c r="K751" s="1"/>
      <c r="L751" s="1"/>
      <c r="M751" s="1"/>
      <c r="N751" s="25"/>
      <c r="O751" s="25"/>
      <c r="P751" s="24"/>
      <c r="Q751" s="1"/>
      <c r="R751" s="1"/>
      <c r="S751" s="24"/>
      <c r="T751" s="1"/>
      <c r="U751" s="1"/>
      <c r="V751" s="24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24"/>
      <c r="G752" s="1"/>
      <c r="H752" s="1"/>
      <c r="I752" s="1"/>
      <c r="J752" s="25"/>
      <c r="K752" s="1"/>
      <c r="L752" s="1"/>
      <c r="M752" s="1"/>
      <c r="N752" s="25"/>
      <c r="O752" s="25"/>
      <c r="P752" s="24"/>
      <c r="Q752" s="1"/>
      <c r="R752" s="1"/>
      <c r="S752" s="24"/>
      <c r="T752" s="1"/>
      <c r="U752" s="1"/>
      <c r="V752" s="24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24"/>
      <c r="G753" s="1"/>
      <c r="H753" s="1"/>
      <c r="I753" s="1"/>
      <c r="J753" s="25"/>
      <c r="K753" s="1"/>
      <c r="L753" s="1"/>
      <c r="M753" s="1"/>
      <c r="N753" s="25"/>
      <c r="O753" s="25"/>
      <c r="P753" s="24"/>
      <c r="Q753" s="1"/>
      <c r="R753" s="1"/>
      <c r="S753" s="24"/>
      <c r="T753" s="1"/>
      <c r="U753" s="1"/>
      <c r="V753" s="24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24"/>
      <c r="G754" s="1"/>
      <c r="H754" s="1"/>
      <c r="I754" s="1"/>
      <c r="J754" s="25"/>
      <c r="K754" s="1"/>
      <c r="L754" s="1"/>
      <c r="M754" s="1"/>
      <c r="N754" s="25"/>
      <c r="O754" s="25"/>
      <c r="P754" s="24"/>
      <c r="Q754" s="1"/>
      <c r="R754" s="1"/>
      <c r="S754" s="24"/>
      <c r="T754" s="1"/>
      <c r="U754" s="1"/>
      <c r="V754" s="24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24"/>
      <c r="G755" s="1"/>
      <c r="H755" s="1"/>
      <c r="I755" s="1"/>
      <c r="J755" s="25"/>
      <c r="K755" s="1"/>
      <c r="L755" s="1"/>
      <c r="M755" s="1"/>
      <c r="N755" s="25"/>
      <c r="O755" s="25"/>
      <c r="P755" s="24"/>
      <c r="Q755" s="1"/>
      <c r="R755" s="1"/>
      <c r="S755" s="24"/>
      <c r="T755" s="1"/>
      <c r="U755" s="1"/>
      <c r="V755" s="24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24"/>
      <c r="G756" s="1"/>
      <c r="H756" s="1"/>
      <c r="I756" s="1"/>
      <c r="J756" s="25"/>
      <c r="K756" s="1"/>
      <c r="L756" s="1"/>
      <c r="M756" s="1"/>
      <c r="N756" s="25"/>
      <c r="O756" s="25"/>
      <c r="P756" s="24"/>
      <c r="Q756" s="1"/>
      <c r="R756" s="1"/>
      <c r="S756" s="24"/>
      <c r="T756" s="1"/>
      <c r="U756" s="1"/>
      <c r="V756" s="24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24"/>
      <c r="G757" s="1"/>
      <c r="H757" s="1"/>
      <c r="I757" s="1"/>
      <c r="J757" s="25"/>
      <c r="K757" s="1"/>
      <c r="L757" s="1"/>
      <c r="M757" s="1"/>
      <c r="N757" s="25"/>
      <c r="O757" s="25"/>
      <c r="P757" s="24"/>
      <c r="Q757" s="1"/>
      <c r="R757" s="1"/>
      <c r="S757" s="24"/>
      <c r="T757" s="1"/>
      <c r="U757" s="1"/>
      <c r="V757" s="24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24"/>
      <c r="G758" s="1"/>
      <c r="H758" s="1"/>
      <c r="I758" s="1"/>
      <c r="J758" s="25"/>
      <c r="K758" s="1"/>
      <c r="L758" s="1"/>
      <c r="M758" s="1"/>
      <c r="N758" s="25"/>
      <c r="O758" s="25"/>
      <c r="P758" s="24"/>
      <c r="Q758" s="1"/>
      <c r="R758" s="1"/>
      <c r="S758" s="24"/>
      <c r="T758" s="1"/>
      <c r="U758" s="1"/>
      <c r="V758" s="24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24"/>
      <c r="G759" s="1"/>
      <c r="H759" s="1"/>
      <c r="I759" s="1"/>
      <c r="J759" s="25"/>
      <c r="K759" s="1"/>
      <c r="L759" s="1"/>
      <c r="M759" s="1"/>
      <c r="N759" s="25"/>
      <c r="O759" s="25"/>
      <c r="P759" s="24"/>
      <c r="Q759" s="1"/>
      <c r="R759" s="1"/>
      <c r="S759" s="24"/>
      <c r="T759" s="1"/>
      <c r="U759" s="1"/>
      <c r="V759" s="24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24"/>
      <c r="G760" s="1"/>
      <c r="H760" s="1"/>
      <c r="I760" s="1"/>
      <c r="J760" s="25"/>
      <c r="K760" s="1"/>
      <c r="L760" s="1"/>
      <c r="M760" s="1"/>
      <c r="N760" s="25"/>
      <c r="O760" s="25"/>
      <c r="P760" s="24"/>
      <c r="Q760" s="1"/>
      <c r="R760" s="1"/>
      <c r="S760" s="24"/>
      <c r="T760" s="1"/>
      <c r="U760" s="1"/>
      <c r="V760" s="24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24"/>
      <c r="G761" s="1"/>
      <c r="H761" s="1"/>
      <c r="I761" s="1"/>
      <c r="J761" s="25"/>
      <c r="K761" s="1"/>
      <c r="L761" s="1"/>
      <c r="M761" s="1"/>
      <c r="N761" s="25"/>
      <c r="O761" s="25"/>
      <c r="P761" s="24"/>
      <c r="Q761" s="1"/>
      <c r="R761" s="1"/>
      <c r="S761" s="24"/>
      <c r="T761" s="1"/>
      <c r="U761" s="1"/>
      <c r="V761" s="24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24"/>
      <c r="G762" s="1"/>
      <c r="H762" s="1"/>
      <c r="I762" s="1"/>
      <c r="J762" s="25"/>
      <c r="K762" s="1"/>
      <c r="L762" s="1"/>
      <c r="M762" s="1"/>
      <c r="N762" s="25"/>
      <c r="O762" s="25"/>
      <c r="P762" s="24"/>
      <c r="Q762" s="1"/>
      <c r="R762" s="1"/>
      <c r="S762" s="24"/>
      <c r="T762" s="1"/>
      <c r="U762" s="1"/>
      <c r="V762" s="24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24"/>
      <c r="G763" s="1"/>
      <c r="H763" s="1"/>
      <c r="I763" s="1"/>
      <c r="J763" s="25"/>
      <c r="K763" s="1"/>
      <c r="L763" s="1"/>
      <c r="M763" s="1"/>
      <c r="N763" s="25"/>
      <c r="O763" s="25"/>
      <c r="P763" s="24"/>
      <c r="Q763" s="1"/>
      <c r="R763" s="1"/>
      <c r="S763" s="24"/>
      <c r="T763" s="1"/>
      <c r="U763" s="1"/>
      <c r="V763" s="24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24"/>
      <c r="G764" s="1"/>
      <c r="H764" s="1"/>
      <c r="I764" s="1"/>
      <c r="J764" s="25"/>
      <c r="K764" s="1"/>
      <c r="L764" s="1"/>
      <c r="M764" s="1"/>
      <c r="N764" s="25"/>
      <c r="O764" s="25"/>
      <c r="P764" s="24"/>
      <c r="Q764" s="1"/>
      <c r="R764" s="1"/>
      <c r="S764" s="24"/>
      <c r="T764" s="1"/>
      <c r="U764" s="1"/>
      <c r="V764" s="24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24"/>
      <c r="G765" s="1"/>
      <c r="H765" s="1"/>
      <c r="I765" s="1"/>
      <c r="J765" s="25"/>
      <c r="K765" s="1"/>
      <c r="L765" s="1"/>
      <c r="M765" s="1"/>
      <c r="N765" s="25"/>
      <c r="O765" s="25"/>
      <c r="P765" s="24"/>
      <c r="Q765" s="1"/>
      <c r="R765" s="1"/>
      <c r="S765" s="24"/>
      <c r="T765" s="1"/>
      <c r="U765" s="1"/>
      <c r="V765" s="24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24"/>
      <c r="G766" s="1"/>
      <c r="H766" s="1"/>
      <c r="I766" s="1"/>
      <c r="J766" s="25"/>
      <c r="K766" s="1"/>
      <c r="L766" s="1"/>
      <c r="M766" s="1"/>
      <c r="N766" s="25"/>
      <c r="O766" s="25"/>
      <c r="P766" s="24"/>
      <c r="Q766" s="1"/>
      <c r="R766" s="1"/>
      <c r="S766" s="24"/>
      <c r="T766" s="1"/>
      <c r="U766" s="1"/>
      <c r="V766" s="24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24"/>
      <c r="G767" s="1"/>
      <c r="H767" s="1"/>
      <c r="I767" s="1"/>
      <c r="J767" s="25"/>
      <c r="K767" s="1"/>
      <c r="L767" s="1"/>
      <c r="M767" s="1"/>
      <c r="N767" s="25"/>
      <c r="O767" s="25"/>
      <c r="P767" s="24"/>
      <c r="Q767" s="1"/>
      <c r="R767" s="1"/>
      <c r="S767" s="24"/>
      <c r="T767" s="1"/>
      <c r="U767" s="1"/>
      <c r="V767" s="24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24"/>
      <c r="G768" s="1"/>
      <c r="H768" s="1"/>
      <c r="I768" s="1"/>
      <c r="J768" s="25"/>
      <c r="K768" s="1"/>
      <c r="L768" s="1"/>
      <c r="M768" s="1"/>
      <c r="N768" s="25"/>
      <c r="O768" s="25"/>
      <c r="P768" s="24"/>
      <c r="Q768" s="1"/>
      <c r="R768" s="1"/>
      <c r="S768" s="24"/>
      <c r="T768" s="1"/>
      <c r="U768" s="1"/>
      <c r="V768" s="24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24"/>
      <c r="G769" s="1"/>
      <c r="H769" s="1"/>
      <c r="I769" s="1"/>
      <c r="J769" s="25"/>
      <c r="K769" s="1"/>
      <c r="L769" s="1"/>
      <c r="M769" s="1"/>
      <c r="N769" s="25"/>
      <c r="O769" s="25"/>
      <c r="P769" s="24"/>
      <c r="Q769" s="1"/>
      <c r="R769" s="1"/>
      <c r="S769" s="24"/>
      <c r="T769" s="1"/>
      <c r="U769" s="1"/>
      <c r="V769" s="24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24"/>
      <c r="G770" s="1"/>
      <c r="H770" s="1"/>
      <c r="I770" s="1"/>
      <c r="J770" s="25"/>
      <c r="K770" s="1"/>
      <c r="L770" s="1"/>
      <c r="M770" s="1"/>
      <c r="N770" s="25"/>
      <c r="O770" s="25"/>
      <c r="P770" s="24"/>
      <c r="Q770" s="1"/>
      <c r="R770" s="1"/>
      <c r="S770" s="24"/>
      <c r="T770" s="1"/>
      <c r="U770" s="1"/>
      <c r="V770" s="24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24"/>
      <c r="G771" s="1"/>
      <c r="H771" s="1"/>
      <c r="I771" s="1"/>
      <c r="J771" s="25"/>
      <c r="K771" s="1"/>
      <c r="L771" s="1"/>
      <c r="M771" s="1"/>
      <c r="N771" s="25"/>
      <c r="O771" s="25"/>
      <c r="P771" s="24"/>
      <c r="Q771" s="1"/>
      <c r="R771" s="1"/>
      <c r="S771" s="24"/>
      <c r="T771" s="1"/>
      <c r="U771" s="1"/>
      <c r="V771" s="24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24"/>
      <c r="G772" s="1"/>
      <c r="H772" s="1"/>
      <c r="I772" s="1"/>
      <c r="J772" s="25"/>
      <c r="K772" s="1"/>
      <c r="L772" s="1"/>
      <c r="M772" s="1"/>
      <c r="N772" s="25"/>
      <c r="O772" s="25"/>
      <c r="P772" s="24"/>
      <c r="Q772" s="1"/>
      <c r="R772" s="1"/>
      <c r="S772" s="24"/>
      <c r="T772" s="1"/>
      <c r="U772" s="1"/>
      <c r="V772" s="24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24"/>
      <c r="G773" s="1"/>
      <c r="H773" s="1"/>
      <c r="I773" s="1"/>
      <c r="J773" s="25"/>
      <c r="K773" s="1"/>
      <c r="L773" s="1"/>
      <c r="M773" s="1"/>
      <c r="N773" s="25"/>
      <c r="O773" s="25"/>
      <c r="P773" s="24"/>
      <c r="Q773" s="1"/>
      <c r="R773" s="1"/>
      <c r="S773" s="24"/>
      <c r="T773" s="1"/>
      <c r="U773" s="1"/>
      <c r="V773" s="24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24"/>
      <c r="G774" s="1"/>
      <c r="H774" s="1"/>
      <c r="I774" s="1"/>
      <c r="J774" s="25"/>
      <c r="K774" s="1"/>
      <c r="L774" s="1"/>
      <c r="M774" s="1"/>
      <c r="N774" s="25"/>
      <c r="O774" s="25"/>
      <c r="P774" s="24"/>
      <c r="Q774" s="1"/>
      <c r="R774" s="1"/>
      <c r="S774" s="24"/>
      <c r="T774" s="1"/>
      <c r="U774" s="1"/>
      <c r="V774" s="24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24"/>
      <c r="G775" s="1"/>
      <c r="H775" s="1"/>
      <c r="I775" s="1"/>
      <c r="J775" s="25"/>
      <c r="K775" s="1"/>
      <c r="L775" s="1"/>
      <c r="M775" s="1"/>
      <c r="N775" s="25"/>
      <c r="O775" s="25"/>
      <c r="P775" s="24"/>
      <c r="Q775" s="1"/>
      <c r="R775" s="1"/>
      <c r="S775" s="24"/>
      <c r="T775" s="1"/>
      <c r="U775" s="1"/>
      <c r="V775" s="24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24"/>
      <c r="G776" s="1"/>
      <c r="H776" s="1"/>
      <c r="I776" s="1"/>
      <c r="J776" s="25"/>
      <c r="K776" s="1"/>
      <c r="L776" s="1"/>
      <c r="M776" s="1"/>
      <c r="N776" s="25"/>
      <c r="O776" s="25"/>
      <c r="P776" s="24"/>
      <c r="Q776" s="1"/>
      <c r="R776" s="1"/>
      <c r="S776" s="24"/>
      <c r="T776" s="1"/>
      <c r="U776" s="1"/>
      <c r="V776" s="24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24"/>
      <c r="G777" s="1"/>
      <c r="H777" s="1"/>
      <c r="I777" s="1"/>
      <c r="J777" s="25"/>
      <c r="K777" s="1"/>
      <c r="L777" s="1"/>
      <c r="M777" s="1"/>
      <c r="N777" s="25"/>
      <c r="O777" s="25"/>
      <c r="P777" s="24"/>
      <c r="Q777" s="1"/>
      <c r="R777" s="1"/>
      <c r="S777" s="24"/>
      <c r="T777" s="1"/>
      <c r="U777" s="1"/>
      <c r="V777" s="24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24"/>
      <c r="G778" s="1"/>
      <c r="H778" s="1"/>
      <c r="I778" s="1"/>
      <c r="J778" s="25"/>
      <c r="K778" s="1"/>
      <c r="L778" s="1"/>
      <c r="M778" s="1"/>
      <c r="N778" s="25"/>
      <c r="O778" s="25"/>
      <c r="P778" s="24"/>
      <c r="Q778" s="1"/>
      <c r="R778" s="1"/>
      <c r="S778" s="24"/>
      <c r="T778" s="1"/>
      <c r="U778" s="1"/>
      <c r="V778" s="24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24"/>
      <c r="G779" s="1"/>
      <c r="H779" s="1"/>
      <c r="I779" s="1"/>
      <c r="J779" s="25"/>
      <c r="K779" s="1"/>
      <c r="L779" s="1"/>
      <c r="M779" s="1"/>
      <c r="N779" s="25"/>
      <c r="O779" s="25"/>
      <c r="P779" s="24"/>
      <c r="Q779" s="1"/>
      <c r="R779" s="1"/>
      <c r="S779" s="24"/>
      <c r="T779" s="1"/>
      <c r="U779" s="1"/>
      <c r="V779" s="24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24"/>
      <c r="G780" s="1"/>
      <c r="H780" s="1"/>
      <c r="I780" s="1"/>
      <c r="J780" s="25"/>
      <c r="K780" s="1"/>
      <c r="L780" s="1"/>
      <c r="M780" s="1"/>
      <c r="N780" s="25"/>
      <c r="O780" s="25"/>
      <c r="P780" s="24"/>
      <c r="Q780" s="1"/>
      <c r="R780" s="1"/>
      <c r="S780" s="24"/>
      <c r="T780" s="1"/>
      <c r="U780" s="1"/>
      <c r="V780" s="24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24"/>
      <c r="G781" s="1"/>
      <c r="H781" s="1"/>
      <c r="I781" s="1"/>
      <c r="J781" s="25"/>
      <c r="K781" s="1"/>
      <c r="L781" s="1"/>
      <c r="M781" s="1"/>
      <c r="N781" s="25"/>
      <c r="O781" s="25"/>
      <c r="P781" s="24"/>
      <c r="Q781" s="1"/>
      <c r="R781" s="1"/>
      <c r="S781" s="24"/>
      <c r="T781" s="1"/>
      <c r="U781" s="1"/>
      <c r="V781" s="24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24"/>
      <c r="G782" s="1"/>
      <c r="H782" s="1"/>
      <c r="I782" s="1"/>
      <c r="J782" s="25"/>
      <c r="K782" s="1"/>
      <c r="L782" s="1"/>
      <c r="M782" s="1"/>
      <c r="N782" s="25"/>
      <c r="O782" s="25"/>
      <c r="P782" s="24"/>
      <c r="Q782" s="1"/>
      <c r="R782" s="1"/>
      <c r="S782" s="24"/>
      <c r="T782" s="1"/>
      <c r="U782" s="1"/>
      <c r="V782" s="24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24"/>
      <c r="G783" s="1"/>
      <c r="H783" s="1"/>
      <c r="I783" s="1"/>
      <c r="J783" s="25"/>
      <c r="K783" s="1"/>
      <c r="L783" s="1"/>
      <c r="M783" s="1"/>
      <c r="N783" s="25"/>
      <c r="O783" s="25"/>
      <c r="P783" s="24"/>
      <c r="Q783" s="1"/>
      <c r="R783" s="1"/>
      <c r="S783" s="24"/>
      <c r="T783" s="1"/>
      <c r="U783" s="1"/>
      <c r="V783" s="24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24"/>
      <c r="G784" s="1"/>
      <c r="H784" s="1"/>
      <c r="I784" s="1"/>
      <c r="J784" s="25"/>
      <c r="K784" s="1"/>
      <c r="L784" s="1"/>
      <c r="M784" s="1"/>
      <c r="N784" s="25"/>
      <c r="O784" s="25"/>
      <c r="P784" s="24"/>
      <c r="Q784" s="1"/>
      <c r="R784" s="1"/>
      <c r="S784" s="24"/>
      <c r="T784" s="1"/>
      <c r="U784" s="1"/>
      <c r="V784" s="24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24"/>
      <c r="G785" s="1"/>
      <c r="H785" s="1"/>
      <c r="I785" s="1"/>
      <c r="J785" s="25"/>
      <c r="K785" s="1"/>
      <c r="L785" s="1"/>
      <c r="M785" s="1"/>
      <c r="N785" s="25"/>
      <c r="O785" s="25"/>
      <c r="P785" s="24"/>
      <c r="Q785" s="1"/>
      <c r="R785" s="1"/>
      <c r="S785" s="24"/>
      <c r="T785" s="1"/>
      <c r="U785" s="1"/>
      <c r="V785" s="24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24"/>
      <c r="G786" s="1"/>
      <c r="H786" s="1"/>
      <c r="I786" s="1"/>
      <c r="J786" s="25"/>
      <c r="K786" s="1"/>
      <c r="L786" s="1"/>
      <c r="M786" s="1"/>
      <c r="N786" s="25"/>
      <c r="O786" s="25"/>
      <c r="P786" s="24"/>
      <c r="Q786" s="1"/>
      <c r="R786" s="1"/>
      <c r="S786" s="24"/>
      <c r="T786" s="1"/>
      <c r="U786" s="1"/>
      <c r="V786" s="24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24"/>
      <c r="G787" s="1"/>
      <c r="H787" s="1"/>
      <c r="I787" s="1"/>
      <c r="J787" s="25"/>
      <c r="K787" s="1"/>
      <c r="L787" s="1"/>
      <c r="M787" s="1"/>
      <c r="N787" s="25"/>
      <c r="O787" s="25"/>
      <c r="P787" s="24"/>
      <c r="Q787" s="1"/>
      <c r="R787" s="1"/>
      <c r="S787" s="24"/>
      <c r="T787" s="1"/>
      <c r="U787" s="1"/>
      <c r="V787" s="24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24"/>
      <c r="G788" s="1"/>
      <c r="H788" s="1"/>
      <c r="I788" s="1"/>
      <c r="J788" s="25"/>
      <c r="K788" s="1"/>
      <c r="L788" s="1"/>
      <c r="M788" s="1"/>
      <c r="N788" s="25"/>
      <c r="O788" s="25"/>
      <c r="P788" s="24"/>
      <c r="Q788" s="1"/>
      <c r="R788" s="1"/>
      <c r="S788" s="24"/>
      <c r="T788" s="1"/>
      <c r="U788" s="1"/>
      <c r="V788" s="24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24"/>
      <c r="G789" s="1"/>
      <c r="H789" s="1"/>
      <c r="I789" s="1"/>
      <c r="J789" s="25"/>
      <c r="K789" s="1"/>
      <c r="L789" s="1"/>
      <c r="M789" s="1"/>
      <c r="N789" s="25"/>
      <c r="O789" s="25"/>
      <c r="P789" s="24"/>
      <c r="Q789" s="1"/>
      <c r="R789" s="1"/>
      <c r="S789" s="24"/>
      <c r="T789" s="1"/>
      <c r="U789" s="1"/>
      <c r="V789" s="24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24"/>
      <c r="G790" s="1"/>
      <c r="H790" s="1"/>
      <c r="I790" s="1"/>
      <c r="J790" s="25"/>
      <c r="K790" s="1"/>
      <c r="L790" s="1"/>
      <c r="M790" s="1"/>
      <c r="N790" s="25"/>
      <c r="O790" s="25"/>
      <c r="P790" s="24"/>
      <c r="Q790" s="1"/>
      <c r="R790" s="1"/>
      <c r="S790" s="24"/>
      <c r="T790" s="1"/>
      <c r="U790" s="1"/>
      <c r="V790" s="24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24"/>
      <c r="G791" s="1"/>
      <c r="H791" s="1"/>
      <c r="I791" s="1"/>
      <c r="J791" s="25"/>
      <c r="K791" s="1"/>
      <c r="L791" s="1"/>
      <c r="M791" s="1"/>
      <c r="N791" s="25"/>
      <c r="O791" s="25"/>
      <c r="P791" s="24"/>
      <c r="Q791" s="1"/>
      <c r="R791" s="1"/>
      <c r="S791" s="24"/>
      <c r="T791" s="1"/>
      <c r="U791" s="1"/>
      <c r="V791" s="24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24"/>
      <c r="G792" s="1"/>
      <c r="H792" s="1"/>
      <c r="I792" s="1"/>
      <c r="J792" s="25"/>
      <c r="K792" s="1"/>
      <c r="L792" s="1"/>
      <c r="M792" s="1"/>
      <c r="N792" s="25"/>
      <c r="O792" s="25"/>
      <c r="P792" s="24"/>
      <c r="Q792" s="1"/>
      <c r="R792" s="1"/>
      <c r="S792" s="24"/>
      <c r="T792" s="1"/>
      <c r="U792" s="1"/>
      <c r="V792" s="24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24"/>
      <c r="G793" s="1"/>
      <c r="H793" s="1"/>
      <c r="I793" s="1"/>
      <c r="J793" s="25"/>
      <c r="K793" s="1"/>
      <c r="L793" s="1"/>
      <c r="M793" s="1"/>
      <c r="N793" s="25"/>
      <c r="O793" s="25"/>
      <c r="P793" s="24"/>
      <c r="Q793" s="1"/>
      <c r="R793" s="1"/>
      <c r="S793" s="24"/>
      <c r="T793" s="1"/>
      <c r="U793" s="1"/>
      <c r="V793" s="24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24"/>
      <c r="G794" s="1"/>
      <c r="H794" s="1"/>
      <c r="I794" s="1"/>
      <c r="J794" s="25"/>
      <c r="K794" s="1"/>
      <c r="L794" s="1"/>
      <c r="M794" s="1"/>
      <c r="N794" s="25"/>
      <c r="O794" s="25"/>
      <c r="P794" s="24"/>
      <c r="Q794" s="1"/>
      <c r="R794" s="1"/>
      <c r="S794" s="24"/>
      <c r="T794" s="1"/>
      <c r="U794" s="1"/>
      <c r="V794" s="24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24"/>
      <c r="G795" s="1"/>
      <c r="H795" s="1"/>
      <c r="I795" s="1"/>
      <c r="J795" s="25"/>
      <c r="K795" s="1"/>
      <c r="L795" s="1"/>
      <c r="M795" s="1"/>
      <c r="N795" s="25"/>
      <c r="O795" s="25"/>
      <c r="P795" s="24"/>
      <c r="Q795" s="1"/>
      <c r="R795" s="1"/>
      <c r="S795" s="24"/>
      <c r="T795" s="1"/>
      <c r="U795" s="1"/>
      <c r="V795" s="24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24"/>
      <c r="G796" s="1"/>
      <c r="H796" s="1"/>
      <c r="I796" s="1"/>
      <c r="J796" s="25"/>
      <c r="K796" s="1"/>
      <c r="L796" s="1"/>
      <c r="M796" s="1"/>
      <c r="N796" s="25"/>
      <c r="O796" s="25"/>
      <c r="P796" s="24"/>
      <c r="Q796" s="1"/>
      <c r="R796" s="1"/>
      <c r="S796" s="24"/>
      <c r="T796" s="1"/>
      <c r="U796" s="1"/>
      <c r="V796" s="24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24"/>
      <c r="G797" s="1"/>
      <c r="H797" s="1"/>
      <c r="I797" s="1"/>
      <c r="J797" s="25"/>
      <c r="K797" s="1"/>
      <c r="L797" s="1"/>
      <c r="M797" s="1"/>
      <c r="N797" s="25"/>
      <c r="O797" s="25"/>
      <c r="P797" s="24"/>
      <c r="Q797" s="1"/>
      <c r="R797" s="1"/>
      <c r="S797" s="24"/>
      <c r="T797" s="1"/>
      <c r="U797" s="1"/>
      <c r="V797" s="24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24"/>
      <c r="G798" s="1"/>
      <c r="H798" s="1"/>
      <c r="I798" s="1"/>
      <c r="J798" s="25"/>
      <c r="K798" s="1"/>
      <c r="L798" s="1"/>
      <c r="M798" s="1"/>
      <c r="N798" s="25"/>
      <c r="O798" s="25"/>
      <c r="P798" s="24"/>
      <c r="Q798" s="1"/>
      <c r="R798" s="1"/>
      <c r="S798" s="24"/>
      <c r="T798" s="1"/>
      <c r="U798" s="1"/>
      <c r="V798" s="24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24"/>
      <c r="G799" s="1"/>
      <c r="H799" s="1"/>
      <c r="I799" s="1"/>
      <c r="J799" s="25"/>
      <c r="K799" s="1"/>
      <c r="L799" s="1"/>
      <c r="M799" s="1"/>
      <c r="N799" s="25"/>
      <c r="O799" s="25"/>
      <c r="P799" s="24"/>
      <c r="Q799" s="1"/>
      <c r="R799" s="1"/>
      <c r="S799" s="24"/>
      <c r="T799" s="1"/>
      <c r="U799" s="1"/>
      <c r="V799" s="24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24"/>
      <c r="G800" s="1"/>
      <c r="H800" s="1"/>
      <c r="I800" s="1"/>
      <c r="J800" s="25"/>
      <c r="K800" s="1"/>
      <c r="L800" s="1"/>
      <c r="M800" s="1"/>
      <c r="N800" s="25"/>
      <c r="O800" s="25"/>
      <c r="P800" s="24"/>
      <c r="Q800" s="1"/>
      <c r="R800" s="1"/>
      <c r="S800" s="24"/>
      <c r="T800" s="1"/>
      <c r="U800" s="1"/>
      <c r="V800" s="24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24"/>
      <c r="G801" s="1"/>
      <c r="H801" s="1"/>
      <c r="I801" s="1"/>
      <c r="J801" s="25"/>
      <c r="K801" s="1"/>
      <c r="L801" s="1"/>
      <c r="M801" s="1"/>
      <c r="N801" s="25"/>
      <c r="O801" s="25"/>
      <c r="P801" s="24"/>
      <c r="Q801" s="1"/>
      <c r="R801" s="1"/>
      <c r="S801" s="24"/>
      <c r="T801" s="1"/>
      <c r="U801" s="1"/>
      <c r="V801" s="24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24"/>
      <c r="G802" s="1"/>
      <c r="H802" s="1"/>
      <c r="I802" s="1"/>
      <c r="J802" s="25"/>
      <c r="K802" s="1"/>
      <c r="L802" s="1"/>
      <c r="M802" s="1"/>
      <c r="N802" s="25"/>
      <c r="O802" s="25"/>
      <c r="P802" s="24"/>
      <c r="Q802" s="1"/>
      <c r="R802" s="1"/>
      <c r="S802" s="24"/>
      <c r="T802" s="1"/>
      <c r="U802" s="1"/>
      <c r="V802" s="24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24"/>
      <c r="G803" s="1"/>
      <c r="H803" s="1"/>
      <c r="I803" s="1"/>
      <c r="J803" s="25"/>
      <c r="K803" s="1"/>
      <c r="L803" s="1"/>
      <c r="M803" s="1"/>
      <c r="N803" s="25"/>
      <c r="O803" s="25"/>
      <c r="P803" s="24"/>
      <c r="Q803" s="1"/>
      <c r="R803" s="1"/>
      <c r="S803" s="24"/>
      <c r="T803" s="1"/>
      <c r="U803" s="1"/>
      <c r="V803" s="24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24"/>
      <c r="G804" s="1"/>
      <c r="H804" s="1"/>
      <c r="I804" s="1"/>
      <c r="J804" s="25"/>
      <c r="K804" s="1"/>
      <c r="L804" s="1"/>
      <c r="M804" s="1"/>
      <c r="N804" s="25"/>
      <c r="O804" s="25"/>
      <c r="P804" s="24"/>
      <c r="Q804" s="1"/>
      <c r="R804" s="1"/>
      <c r="S804" s="24"/>
      <c r="T804" s="1"/>
      <c r="U804" s="1"/>
      <c r="V804" s="24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24"/>
      <c r="G805" s="1"/>
      <c r="H805" s="1"/>
      <c r="I805" s="1"/>
      <c r="J805" s="25"/>
      <c r="K805" s="1"/>
      <c r="L805" s="1"/>
      <c r="M805" s="1"/>
      <c r="N805" s="25"/>
      <c r="O805" s="25"/>
      <c r="P805" s="24"/>
      <c r="Q805" s="1"/>
      <c r="R805" s="1"/>
      <c r="S805" s="24"/>
      <c r="T805" s="1"/>
      <c r="U805" s="1"/>
      <c r="V805" s="24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24"/>
      <c r="G806" s="1"/>
      <c r="H806" s="1"/>
      <c r="I806" s="1"/>
      <c r="J806" s="25"/>
      <c r="K806" s="1"/>
      <c r="L806" s="1"/>
      <c r="M806" s="1"/>
      <c r="N806" s="25"/>
      <c r="O806" s="25"/>
      <c r="P806" s="24"/>
      <c r="Q806" s="1"/>
      <c r="R806" s="1"/>
      <c r="S806" s="24"/>
      <c r="T806" s="1"/>
      <c r="U806" s="1"/>
      <c r="V806" s="24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24"/>
      <c r="G807" s="1"/>
      <c r="H807" s="1"/>
      <c r="I807" s="1"/>
      <c r="J807" s="25"/>
      <c r="K807" s="1"/>
      <c r="L807" s="1"/>
      <c r="M807" s="1"/>
      <c r="N807" s="25"/>
      <c r="O807" s="25"/>
      <c r="P807" s="24"/>
      <c r="Q807" s="1"/>
      <c r="R807" s="1"/>
      <c r="S807" s="24"/>
      <c r="T807" s="1"/>
      <c r="U807" s="1"/>
      <c r="V807" s="24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24"/>
      <c r="G808" s="1"/>
      <c r="H808" s="1"/>
      <c r="I808" s="1"/>
      <c r="J808" s="25"/>
      <c r="K808" s="1"/>
      <c r="L808" s="1"/>
      <c r="M808" s="1"/>
      <c r="N808" s="25"/>
      <c r="O808" s="25"/>
      <c r="P808" s="24"/>
      <c r="Q808" s="1"/>
      <c r="R808" s="1"/>
      <c r="S808" s="24"/>
      <c r="T808" s="1"/>
      <c r="U808" s="1"/>
      <c r="V808" s="24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24"/>
      <c r="G809" s="1"/>
      <c r="H809" s="1"/>
      <c r="I809" s="1"/>
      <c r="J809" s="25"/>
      <c r="K809" s="1"/>
      <c r="L809" s="1"/>
      <c r="M809" s="1"/>
      <c r="N809" s="25"/>
      <c r="O809" s="25"/>
      <c r="P809" s="24"/>
      <c r="Q809" s="1"/>
      <c r="R809" s="1"/>
      <c r="S809" s="24"/>
      <c r="T809" s="1"/>
      <c r="U809" s="1"/>
      <c r="V809" s="24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24"/>
      <c r="G810" s="1"/>
      <c r="H810" s="1"/>
      <c r="I810" s="1"/>
      <c r="J810" s="25"/>
      <c r="K810" s="1"/>
      <c r="L810" s="1"/>
      <c r="M810" s="1"/>
      <c r="N810" s="25"/>
      <c r="O810" s="25"/>
      <c r="P810" s="24"/>
      <c r="Q810" s="1"/>
      <c r="R810" s="1"/>
      <c r="S810" s="24"/>
      <c r="T810" s="1"/>
      <c r="U810" s="1"/>
      <c r="V810" s="24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24"/>
      <c r="G811" s="1"/>
      <c r="H811" s="1"/>
      <c r="I811" s="1"/>
      <c r="J811" s="25"/>
      <c r="K811" s="1"/>
      <c r="L811" s="1"/>
      <c r="M811" s="1"/>
      <c r="N811" s="25"/>
      <c r="O811" s="25"/>
      <c r="P811" s="24"/>
      <c r="Q811" s="1"/>
      <c r="R811" s="1"/>
      <c r="S811" s="24"/>
      <c r="T811" s="1"/>
      <c r="U811" s="1"/>
      <c r="V811" s="24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24"/>
      <c r="G812" s="1"/>
      <c r="H812" s="1"/>
      <c r="I812" s="1"/>
      <c r="J812" s="25"/>
      <c r="K812" s="1"/>
      <c r="L812" s="1"/>
      <c r="M812" s="1"/>
      <c r="N812" s="25"/>
      <c r="O812" s="25"/>
      <c r="P812" s="24"/>
      <c r="Q812" s="1"/>
      <c r="R812" s="1"/>
      <c r="S812" s="24"/>
      <c r="T812" s="1"/>
      <c r="U812" s="1"/>
      <c r="V812" s="24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24"/>
      <c r="G813" s="1"/>
      <c r="H813" s="1"/>
      <c r="I813" s="1"/>
      <c r="J813" s="25"/>
      <c r="K813" s="1"/>
      <c r="L813" s="1"/>
      <c r="M813" s="1"/>
      <c r="N813" s="25"/>
      <c r="O813" s="25"/>
      <c r="P813" s="24"/>
      <c r="Q813" s="1"/>
      <c r="R813" s="1"/>
      <c r="S813" s="24"/>
      <c r="T813" s="1"/>
      <c r="U813" s="1"/>
      <c r="V813" s="24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24"/>
      <c r="G814" s="1"/>
      <c r="H814" s="1"/>
      <c r="I814" s="1"/>
      <c r="J814" s="25"/>
      <c r="K814" s="1"/>
      <c r="L814" s="1"/>
      <c r="M814" s="1"/>
      <c r="N814" s="25"/>
      <c r="O814" s="25"/>
      <c r="P814" s="24"/>
      <c r="Q814" s="1"/>
      <c r="R814" s="1"/>
      <c r="S814" s="24"/>
      <c r="T814" s="1"/>
      <c r="U814" s="1"/>
      <c r="V814" s="24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24"/>
      <c r="G815" s="1"/>
      <c r="H815" s="1"/>
      <c r="I815" s="1"/>
      <c r="J815" s="25"/>
      <c r="K815" s="1"/>
      <c r="L815" s="1"/>
      <c r="M815" s="1"/>
      <c r="N815" s="25"/>
      <c r="O815" s="25"/>
      <c r="P815" s="24"/>
      <c r="Q815" s="1"/>
      <c r="R815" s="1"/>
      <c r="S815" s="24"/>
      <c r="T815" s="1"/>
      <c r="U815" s="1"/>
      <c r="V815" s="24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24"/>
      <c r="G816" s="1"/>
      <c r="H816" s="1"/>
      <c r="I816" s="1"/>
      <c r="J816" s="25"/>
      <c r="K816" s="1"/>
      <c r="L816" s="1"/>
      <c r="M816" s="1"/>
      <c r="N816" s="25"/>
      <c r="O816" s="25"/>
      <c r="P816" s="24"/>
      <c r="Q816" s="1"/>
      <c r="R816" s="1"/>
      <c r="S816" s="24"/>
      <c r="T816" s="1"/>
      <c r="U816" s="1"/>
      <c r="V816" s="24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24"/>
      <c r="G817" s="1"/>
      <c r="H817" s="1"/>
      <c r="I817" s="1"/>
      <c r="J817" s="25"/>
      <c r="K817" s="1"/>
      <c r="L817" s="1"/>
      <c r="M817" s="1"/>
      <c r="N817" s="25"/>
      <c r="O817" s="25"/>
      <c r="P817" s="24"/>
      <c r="Q817" s="1"/>
      <c r="R817" s="1"/>
      <c r="S817" s="24"/>
      <c r="T817" s="1"/>
      <c r="U817" s="1"/>
      <c r="V817" s="24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24"/>
      <c r="G818" s="1"/>
      <c r="H818" s="1"/>
      <c r="I818" s="1"/>
      <c r="J818" s="25"/>
      <c r="K818" s="1"/>
      <c r="L818" s="1"/>
      <c r="M818" s="1"/>
      <c r="N818" s="25"/>
      <c r="O818" s="25"/>
      <c r="P818" s="24"/>
      <c r="Q818" s="1"/>
      <c r="R818" s="1"/>
      <c r="S818" s="24"/>
      <c r="T818" s="1"/>
      <c r="U818" s="1"/>
      <c r="V818" s="24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24"/>
      <c r="G819" s="1"/>
      <c r="H819" s="1"/>
      <c r="I819" s="1"/>
      <c r="J819" s="25"/>
      <c r="K819" s="1"/>
      <c r="L819" s="1"/>
      <c r="M819" s="1"/>
      <c r="N819" s="25"/>
      <c r="O819" s="25"/>
      <c r="P819" s="24"/>
      <c r="Q819" s="1"/>
      <c r="R819" s="1"/>
      <c r="S819" s="24"/>
      <c r="T819" s="1"/>
      <c r="U819" s="1"/>
      <c r="V819" s="24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24"/>
      <c r="G820" s="1"/>
      <c r="H820" s="1"/>
      <c r="I820" s="1"/>
      <c r="J820" s="25"/>
      <c r="K820" s="1"/>
      <c r="L820" s="1"/>
      <c r="M820" s="1"/>
      <c r="N820" s="25"/>
      <c r="O820" s="25"/>
      <c r="P820" s="24"/>
      <c r="Q820" s="1"/>
      <c r="R820" s="1"/>
      <c r="S820" s="24"/>
      <c r="T820" s="1"/>
      <c r="U820" s="1"/>
      <c r="V820" s="24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24"/>
      <c r="G821" s="1"/>
      <c r="H821" s="1"/>
      <c r="I821" s="1"/>
      <c r="J821" s="25"/>
      <c r="K821" s="1"/>
      <c r="L821" s="1"/>
      <c r="M821" s="1"/>
      <c r="N821" s="25"/>
      <c r="O821" s="25"/>
      <c r="P821" s="24"/>
      <c r="Q821" s="1"/>
      <c r="R821" s="1"/>
      <c r="S821" s="24"/>
      <c r="T821" s="1"/>
      <c r="U821" s="1"/>
      <c r="V821" s="24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24"/>
      <c r="G822" s="1"/>
      <c r="H822" s="1"/>
      <c r="I822" s="1"/>
      <c r="J822" s="25"/>
      <c r="K822" s="1"/>
      <c r="L822" s="1"/>
      <c r="M822" s="1"/>
      <c r="N822" s="25"/>
      <c r="O822" s="25"/>
      <c r="P822" s="24"/>
      <c r="Q822" s="1"/>
      <c r="R822" s="1"/>
      <c r="S822" s="24"/>
      <c r="T822" s="1"/>
      <c r="U822" s="1"/>
      <c r="V822" s="24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24"/>
      <c r="G823" s="1"/>
      <c r="H823" s="1"/>
      <c r="I823" s="1"/>
      <c r="J823" s="25"/>
      <c r="K823" s="1"/>
      <c r="L823" s="1"/>
      <c r="M823" s="1"/>
      <c r="N823" s="25"/>
      <c r="O823" s="25"/>
      <c r="P823" s="24"/>
      <c r="Q823" s="1"/>
      <c r="R823" s="1"/>
      <c r="S823" s="24"/>
      <c r="T823" s="1"/>
      <c r="U823" s="1"/>
      <c r="V823" s="24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24"/>
      <c r="G824" s="1"/>
      <c r="H824" s="1"/>
      <c r="I824" s="1"/>
      <c r="J824" s="25"/>
      <c r="K824" s="1"/>
      <c r="L824" s="1"/>
      <c r="M824" s="1"/>
      <c r="N824" s="25"/>
      <c r="O824" s="25"/>
      <c r="P824" s="24"/>
      <c r="Q824" s="1"/>
      <c r="R824" s="1"/>
      <c r="S824" s="24"/>
      <c r="T824" s="1"/>
      <c r="U824" s="1"/>
      <c r="V824" s="24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24"/>
      <c r="G825" s="1"/>
      <c r="H825" s="1"/>
      <c r="I825" s="1"/>
      <c r="J825" s="25"/>
      <c r="K825" s="1"/>
      <c r="L825" s="1"/>
      <c r="M825" s="1"/>
      <c r="N825" s="25"/>
      <c r="O825" s="25"/>
      <c r="P825" s="24"/>
      <c r="Q825" s="1"/>
      <c r="R825" s="1"/>
      <c r="S825" s="24"/>
      <c r="T825" s="1"/>
      <c r="U825" s="1"/>
      <c r="V825" s="24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24"/>
      <c r="G826" s="1"/>
      <c r="H826" s="1"/>
      <c r="I826" s="1"/>
      <c r="J826" s="25"/>
      <c r="K826" s="1"/>
      <c r="L826" s="1"/>
      <c r="M826" s="1"/>
      <c r="N826" s="25"/>
      <c r="O826" s="25"/>
      <c r="P826" s="24"/>
      <c r="Q826" s="1"/>
      <c r="R826" s="1"/>
      <c r="S826" s="24"/>
      <c r="T826" s="1"/>
      <c r="U826" s="1"/>
      <c r="V826" s="24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24"/>
      <c r="G827" s="1"/>
      <c r="H827" s="1"/>
      <c r="I827" s="1"/>
      <c r="J827" s="25"/>
      <c r="K827" s="1"/>
      <c r="L827" s="1"/>
      <c r="M827" s="1"/>
      <c r="N827" s="25"/>
      <c r="O827" s="25"/>
      <c r="P827" s="24"/>
      <c r="Q827" s="1"/>
      <c r="R827" s="1"/>
      <c r="S827" s="24"/>
      <c r="T827" s="1"/>
      <c r="U827" s="1"/>
      <c r="V827" s="24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24"/>
      <c r="G828" s="1"/>
      <c r="H828" s="1"/>
      <c r="I828" s="1"/>
      <c r="J828" s="25"/>
      <c r="K828" s="1"/>
      <c r="L828" s="1"/>
      <c r="M828" s="1"/>
      <c r="N828" s="25"/>
      <c r="O828" s="25"/>
      <c r="P828" s="24"/>
      <c r="Q828" s="1"/>
      <c r="R828" s="1"/>
      <c r="S828" s="24"/>
      <c r="T828" s="1"/>
      <c r="U828" s="1"/>
      <c r="V828" s="24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24"/>
      <c r="G829" s="1"/>
      <c r="H829" s="1"/>
      <c r="I829" s="1"/>
      <c r="J829" s="25"/>
      <c r="K829" s="1"/>
      <c r="L829" s="1"/>
      <c r="M829" s="1"/>
      <c r="N829" s="25"/>
      <c r="O829" s="25"/>
      <c r="P829" s="24"/>
      <c r="Q829" s="1"/>
      <c r="R829" s="1"/>
      <c r="S829" s="24"/>
      <c r="T829" s="1"/>
      <c r="U829" s="1"/>
      <c r="V829" s="24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24"/>
      <c r="G830" s="1"/>
      <c r="H830" s="1"/>
      <c r="I830" s="1"/>
      <c r="J830" s="25"/>
      <c r="K830" s="1"/>
      <c r="L830" s="1"/>
      <c r="M830" s="1"/>
      <c r="N830" s="25"/>
      <c r="O830" s="25"/>
      <c r="P830" s="24"/>
      <c r="Q830" s="1"/>
      <c r="R830" s="1"/>
      <c r="S830" s="24"/>
      <c r="T830" s="1"/>
      <c r="U830" s="1"/>
      <c r="V830" s="24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24"/>
      <c r="G831" s="1"/>
      <c r="H831" s="1"/>
      <c r="I831" s="1"/>
      <c r="J831" s="25"/>
      <c r="K831" s="1"/>
      <c r="L831" s="1"/>
      <c r="M831" s="1"/>
      <c r="N831" s="25"/>
      <c r="O831" s="25"/>
      <c r="P831" s="24"/>
      <c r="Q831" s="1"/>
      <c r="R831" s="1"/>
      <c r="S831" s="24"/>
      <c r="T831" s="1"/>
      <c r="U831" s="1"/>
      <c r="V831" s="24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24"/>
      <c r="G832" s="1"/>
      <c r="H832" s="1"/>
      <c r="I832" s="1"/>
      <c r="J832" s="25"/>
      <c r="K832" s="1"/>
      <c r="L832" s="1"/>
      <c r="M832" s="1"/>
      <c r="N832" s="25"/>
      <c r="O832" s="25"/>
      <c r="P832" s="24"/>
      <c r="Q832" s="1"/>
      <c r="R832" s="1"/>
      <c r="S832" s="24"/>
      <c r="T832" s="1"/>
      <c r="U832" s="1"/>
      <c r="V832" s="24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24"/>
      <c r="G833" s="1"/>
      <c r="H833" s="1"/>
      <c r="I833" s="1"/>
      <c r="J833" s="25"/>
      <c r="K833" s="1"/>
      <c r="L833" s="1"/>
      <c r="M833" s="1"/>
      <c r="N833" s="25"/>
      <c r="O833" s="25"/>
      <c r="P833" s="24"/>
      <c r="Q833" s="1"/>
      <c r="R833" s="1"/>
      <c r="S833" s="24"/>
      <c r="T833" s="1"/>
      <c r="U833" s="1"/>
      <c r="V833" s="24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24"/>
      <c r="G834" s="1"/>
      <c r="H834" s="1"/>
      <c r="I834" s="1"/>
      <c r="J834" s="25"/>
      <c r="K834" s="1"/>
      <c r="L834" s="1"/>
      <c r="M834" s="1"/>
      <c r="N834" s="25"/>
      <c r="O834" s="25"/>
      <c r="P834" s="24"/>
      <c r="Q834" s="1"/>
      <c r="R834" s="1"/>
      <c r="S834" s="24"/>
      <c r="T834" s="1"/>
      <c r="U834" s="1"/>
      <c r="V834" s="24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24"/>
      <c r="G835" s="1"/>
      <c r="H835" s="1"/>
      <c r="I835" s="1"/>
      <c r="J835" s="25"/>
      <c r="K835" s="1"/>
      <c r="L835" s="1"/>
      <c r="M835" s="1"/>
      <c r="N835" s="25"/>
      <c r="O835" s="25"/>
      <c r="P835" s="24"/>
      <c r="Q835" s="1"/>
      <c r="R835" s="1"/>
      <c r="S835" s="24"/>
      <c r="T835" s="1"/>
      <c r="U835" s="1"/>
      <c r="V835" s="24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24"/>
      <c r="G836" s="1"/>
      <c r="H836" s="1"/>
      <c r="I836" s="1"/>
      <c r="J836" s="25"/>
      <c r="K836" s="1"/>
      <c r="L836" s="1"/>
      <c r="M836" s="1"/>
      <c r="N836" s="25"/>
      <c r="O836" s="25"/>
      <c r="P836" s="24"/>
      <c r="Q836" s="1"/>
      <c r="R836" s="1"/>
      <c r="S836" s="24"/>
      <c r="T836" s="1"/>
      <c r="U836" s="1"/>
      <c r="V836" s="24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24"/>
      <c r="G837" s="1"/>
      <c r="H837" s="1"/>
      <c r="I837" s="1"/>
      <c r="J837" s="25"/>
      <c r="K837" s="1"/>
      <c r="L837" s="1"/>
      <c r="M837" s="1"/>
      <c r="N837" s="25"/>
      <c r="O837" s="25"/>
      <c r="P837" s="24"/>
      <c r="Q837" s="1"/>
      <c r="R837" s="1"/>
      <c r="S837" s="24"/>
      <c r="T837" s="1"/>
      <c r="U837" s="1"/>
      <c r="V837" s="24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24"/>
      <c r="G838" s="1"/>
      <c r="H838" s="1"/>
      <c r="I838" s="1"/>
      <c r="J838" s="25"/>
      <c r="K838" s="1"/>
      <c r="L838" s="1"/>
      <c r="M838" s="1"/>
      <c r="N838" s="25"/>
      <c r="O838" s="25"/>
      <c r="P838" s="24"/>
      <c r="Q838" s="1"/>
      <c r="R838" s="1"/>
      <c r="S838" s="24"/>
      <c r="T838" s="1"/>
      <c r="U838" s="1"/>
      <c r="V838" s="24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24"/>
      <c r="G839" s="1"/>
      <c r="H839" s="1"/>
      <c r="I839" s="1"/>
      <c r="J839" s="25"/>
      <c r="K839" s="1"/>
      <c r="L839" s="1"/>
      <c r="M839" s="1"/>
      <c r="N839" s="25"/>
      <c r="O839" s="25"/>
      <c r="P839" s="24"/>
      <c r="Q839" s="1"/>
      <c r="R839" s="1"/>
      <c r="S839" s="24"/>
      <c r="T839" s="1"/>
      <c r="U839" s="1"/>
      <c r="V839" s="24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24"/>
      <c r="G840" s="1"/>
      <c r="H840" s="1"/>
      <c r="I840" s="1"/>
      <c r="J840" s="25"/>
      <c r="K840" s="1"/>
      <c r="L840" s="1"/>
      <c r="M840" s="1"/>
      <c r="N840" s="25"/>
      <c r="O840" s="25"/>
      <c r="P840" s="24"/>
      <c r="Q840" s="1"/>
      <c r="R840" s="1"/>
      <c r="S840" s="24"/>
      <c r="T840" s="1"/>
      <c r="U840" s="1"/>
      <c r="V840" s="24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24"/>
      <c r="G841" s="1"/>
      <c r="H841" s="1"/>
      <c r="I841" s="1"/>
      <c r="J841" s="25"/>
      <c r="K841" s="1"/>
      <c r="L841" s="1"/>
      <c r="M841" s="1"/>
      <c r="N841" s="25"/>
      <c r="O841" s="25"/>
      <c r="P841" s="24"/>
      <c r="Q841" s="1"/>
      <c r="R841" s="1"/>
      <c r="S841" s="24"/>
      <c r="T841" s="1"/>
      <c r="U841" s="1"/>
      <c r="V841" s="24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24"/>
      <c r="G842" s="1"/>
      <c r="H842" s="1"/>
      <c r="I842" s="1"/>
      <c r="J842" s="25"/>
      <c r="K842" s="1"/>
      <c r="L842" s="1"/>
      <c r="M842" s="1"/>
      <c r="N842" s="25"/>
      <c r="O842" s="25"/>
      <c r="P842" s="24"/>
      <c r="Q842" s="1"/>
      <c r="R842" s="1"/>
      <c r="S842" s="24"/>
      <c r="T842" s="1"/>
      <c r="U842" s="1"/>
      <c r="V842" s="24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24"/>
      <c r="G843" s="1"/>
      <c r="H843" s="1"/>
      <c r="I843" s="1"/>
      <c r="J843" s="25"/>
      <c r="K843" s="1"/>
      <c r="L843" s="1"/>
      <c r="M843" s="1"/>
      <c r="N843" s="25"/>
      <c r="O843" s="25"/>
      <c r="P843" s="24"/>
      <c r="Q843" s="1"/>
      <c r="R843" s="1"/>
      <c r="S843" s="24"/>
      <c r="T843" s="1"/>
      <c r="U843" s="1"/>
      <c r="V843" s="24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24"/>
      <c r="G844" s="1"/>
      <c r="H844" s="1"/>
      <c r="I844" s="1"/>
      <c r="J844" s="25"/>
      <c r="K844" s="1"/>
      <c r="L844" s="1"/>
      <c r="M844" s="1"/>
      <c r="N844" s="25"/>
      <c r="O844" s="25"/>
      <c r="P844" s="24"/>
      <c r="Q844" s="1"/>
      <c r="R844" s="1"/>
      <c r="S844" s="24"/>
      <c r="T844" s="1"/>
      <c r="U844" s="1"/>
      <c r="V844" s="24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24"/>
      <c r="G845" s="1"/>
      <c r="H845" s="1"/>
      <c r="I845" s="1"/>
      <c r="J845" s="25"/>
      <c r="K845" s="1"/>
      <c r="L845" s="1"/>
      <c r="M845" s="1"/>
      <c r="N845" s="25"/>
      <c r="O845" s="25"/>
      <c r="P845" s="24"/>
      <c r="Q845" s="1"/>
      <c r="R845" s="1"/>
      <c r="S845" s="24"/>
      <c r="T845" s="1"/>
      <c r="U845" s="1"/>
      <c r="V845" s="24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24"/>
      <c r="G846" s="1"/>
      <c r="H846" s="1"/>
      <c r="I846" s="1"/>
      <c r="J846" s="25"/>
      <c r="K846" s="1"/>
      <c r="L846" s="1"/>
      <c r="M846" s="1"/>
      <c r="N846" s="25"/>
      <c r="O846" s="25"/>
      <c r="P846" s="24"/>
      <c r="Q846" s="1"/>
      <c r="R846" s="1"/>
      <c r="S846" s="24"/>
      <c r="T846" s="1"/>
      <c r="U846" s="1"/>
      <c r="V846" s="24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24"/>
      <c r="G847" s="1"/>
      <c r="H847" s="1"/>
      <c r="I847" s="1"/>
      <c r="J847" s="25"/>
      <c r="K847" s="1"/>
      <c r="L847" s="1"/>
      <c r="M847" s="1"/>
      <c r="N847" s="25"/>
      <c r="O847" s="25"/>
      <c r="P847" s="24"/>
      <c r="Q847" s="1"/>
      <c r="R847" s="1"/>
      <c r="S847" s="24"/>
      <c r="T847" s="1"/>
      <c r="U847" s="1"/>
      <c r="V847" s="24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24"/>
      <c r="G848" s="1"/>
      <c r="H848" s="1"/>
      <c r="I848" s="1"/>
      <c r="J848" s="25"/>
      <c r="K848" s="1"/>
      <c r="L848" s="1"/>
      <c r="M848" s="1"/>
      <c r="N848" s="25"/>
      <c r="O848" s="25"/>
      <c r="P848" s="24"/>
      <c r="Q848" s="1"/>
      <c r="R848" s="1"/>
      <c r="S848" s="24"/>
      <c r="T848" s="1"/>
      <c r="U848" s="1"/>
      <c r="V848" s="24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24"/>
      <c r="G849" s="1"/>
      <c r="H849" s="1"/>
      <c r="I849" s="1"/>
      <c r="J849" s="25"/>
      <c r="K849" s="1"/>
      <c r="L849" s="1"/>
      <c r="M849" s="1"/>
      <c r="N849" s="25"/>
      <c r="O849" s="25"/>
      <c r="P849" s="24"/>
      <c r="Q849" s="1"/>
      <c r="R849" s="1"/>
      <c r="S849" s="24"/>
      <c r="T849" s="1"/>
      <c r="U849" s="1"/>
      <c r="V849" s="24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24"/>
      <c r="G850" s="1"/>
      <c r="H850" s="1"/>
      <c r="I850" s="1"/>
      <c r="J850" s="25"/>
      <c r="K850" s="1"/>
      <c r="L850" s="1"/>
      <c r="M850" s="1"/>
      <c r="N850" s="25"/>
      <c r="O850" s="25"/>
      <c r="P850" s="24"/>
      <c r="Q850" s="1"/>
      <c r="R850" s="1"/>
      <c r="S850" s="24"/>
      <c r="T850" s="1"/>
      <c r="U850" s="1"/>
      <c r="V850" s="24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24"/>
      <c r="G851" s="1"/>
      <c r="H851" s="1"/>
      <c r="I851" s="1"/>
      <c r="J851" s="25"/>
      <c r="K851" s="1"/>
      <c r="L851" s="1"/>
      <c r="M851" s="1"/>
      <c r="N851" s="25"/>
      <c r="O851" s="25"/>
      <c r="P851" s="24"/>
      <c r="Q851" s="1"/>
      <c r="R851" s="1"/>
      <c r="S851" s="24"/>
      <c r="T851" s="1"/>
      <c r="U851" s="1"/>
      <c r="V851" s="24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24"/>
      <c r="G852" s="1"/>
      <c r="H852" s="1"/>
      <c r="I852" s="1"/>
      <c r="J852" s="25"/>
      <c r="K852" s="1"/>
      <c r="L852" s="1"/>
      <c r="M852" s="1"/>
      <c r="N852" s="25"/>
      <c r="O852" s="25"/>
      <c r="P852" s="24"/>
      <c r="Q852" s="1"/>
      <c r="R852" s="1"/>
      <c r="S852" s="24"/>
      <c r="T852" s="1"/>
      <c r="U852" s="1"/>
      <c r="V852" s="24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24"/>
      <c r="G853" s="1"/>
      <c r="H853" s="1"/>
      <c r="I853" s="1"/>
      <c r="J853" s="25"/>
      <c r="K853" s="1"/>
      <c r="L853" s="1"/>
      <c r="M853" s="1"/>
      <c r="N853" s="25"/>
      <c r="O853" s="25"/>
      <c r="P853" s="24"/>
      <c r="Q853" s="1"/>
      <c r="R853" s="1"/>
      <c r="S853" s="24"/>
      <c r="T853" s="1"/>
      <c r="U853" s="1"/>
      <c r="V853" s="24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24"/>
      <c r="G854" s="1"/>
      <c r="H854" s="1"/>
      <c r="I854" s="1"/>
      <c r="J854" s="25"/>
      <c r="K854" s="1"/>
      <c r="L854" s="1"/>
      <c r="M854" s="1"/>
      <c r="N854" s="25"/>
      <c r="O854" s="25"/>
      <c r="P854" s="24"/>
      <c r="Q854" s="1"/>
      <c r="R854" s="1"/>
      <c r="S854" s="24"/>
      <c r="T854" s="1"/>
      <c r="U854" s="1"/>
      <c r="V854" s="24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24"/>
      <c r="G855" s="1"/>
      <c r="H855" s="1"/>
      <c r="I855" s="1"/>
      <c r="J855" s="25"/>
      <c r="K855" s="1"/>
      <c r="L855" s="1"/>
      <c r="M855" s="1"/>
      <c r="N855" s="25"/>
      <c r="O855" s="25"/>
      <c r="P855" s="24"/>
      <c r="Q855" s="1"/>
      <c r="R855" s="1"/>
      <c r="S855" s="24"/>
      <c r="T855" s="1"/>
      <c r="U855" s="1"/>
      <c r="V855" s="24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24"/>
      <c r="G856" s="1"/>
      <c r="H856" s="1"/>
      <c r="I856" s="1"/>
      <c r="J856" s="25"/>
      <c r="K856" s="1"/>
      <c r="L856" s="1"/>
      <c r="M856" s="1"/>
      <c r="N856" s="25"/>
      <c r="O856" s="25"/>
      <c r="P856" s="24"/>
      <c r="Q856" s="1"/>
      <c r="R856" s="1"/>
      <c r="S856" s="24"/>
      <c r="T856" s="1"/>
      <c r="U856" s="1"/>
      <c r="V856" s="24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24"/>
      <c r="G857" s="1"/>
      <c r="H857" s="1"/>
      <c r="I857" s="1"/>
      <c r="J857" s="25"/>
      <c r="K857" s="1"/>
      <c r="L857" s="1"/>
      <c r="M857" s="1"/>
      <c r="N857" s="25"/>
      <c r="O857" s="25"/>
      <c r="P857" s="24"/>
      <c r="Q857" s="1"/>
      <c r="R857" s="1"/>
      <c r="S857" s="24"/>
      <c r="T857" s="1"/>
      <c r="U857" s="1"/>
      <c r="V857" s="24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24"/>
      <c r="G858" s="1"/>
      <c r="H858" s="1"/>
      <c r="I858" s="1"/>
      <c r="J858" s="25"/>
      <c r="K858" s="1"/>
      <c r="L858" s="1"/>
      <c r="M858" s="1"/>
      <c r="N858" s="25"/>
      <c r="O858" s="25"/>
      <c r="P858" s="24"/>
      <c r="Q858" s="1"/>
      <c r="R858" s="1"/>
      <c r="S858" s="24"/>
      <c r="T858" s="1"/>
      <c r="U858" s="1"/>
      <c r="V858" s="24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24"/>
      <c r="G859" s="1"/>
      <c r="H859" s="1"/>
      <c r="I859" s="1"/>
      <c r="J859" s="25"/>
      <c r="K859" s="1"/>
      <c r="L859" s="1"/>
      <c r="M859" s="1"/>
      <c r="N859" s="25"/>
      <c r="O859" s="25"/>
      <c r="P859" s="24"/>
      <c r="Q859" s="1"/>
      <c r="R859" s="1"/>
      <c r="S859" s="24"/>
      <c r="T859" s="1"/>
      <c r="U859" s="1"/>
      <c r="V859" s="24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24"/>
      <c r="G860" s="1"/>
      <c r="H860" s="1"/>
      <c r="I860" s="1"/>
      <c r="J860" s="25"/>
      <c r="K860" s="1"/>
      <c r="L860" s="1"/>
      <c r="M860" s="1"/>
      <c r="N860" s="25"/>
      <c r="O860" s="25"/>
      <c r="P860" s="24"/>
      <c r="Q860" s="1"/>
      <c r="R860" s="1"/>
      <c r="S860" s="24"/>
      <c r="T860" s="1"/>
      <c r="U860" s="1"/>
      <c r="V860" s="24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24"/>
      <c r="G861" s="1"/>
      <c r="H861" s="1"/>
      <c r="I861" s="1"/>
      <c r="J861" s="25"/>
      <c r="K861" s="1"/>
      <c r="L861" s="1"/>
      <c r="M861" s="1"/>
      <c r="N861" s="25"/>
      <c r="O861" s="25"/>
      <c r="P861" s="24"/>
      <c r="Q861" s="1"/>
      <c r="R861" s="1"/>
      <c r="S861" s="24"/>
      <c r="T861" s="1"/>
      <c r="U861" s="1"/>
      <c r="V861" s="24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24"/>
      <c r="G862" s="1"/>
      <c r="H862" s="1"/>
      <c r="I862" s="1"/>
      <c r="J862" s="25"/>
      <c r="K862" s="1"/>
      <c r="L862" s="1"/>
      <c r="M862" s="1"/>
      <c r="N862" s="25"/>
      <c r="O862" s="25"/>
      <c r="P862" s="24"/>
      <c r="Q862" s="1"/>
      <c r="R862" s="1"/>
      <c r="S862" s="24"/>
      <c r="T862" s="1"/>
      <c r="U862" s="1"/>
      <c r="V862" s="24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24"/>
      <c r="G863" s="1"/>
      <c r="H863" s="1"/>
      <c r="I863" s="1"/>
      <c r="J863" s="25"/>
      <c r="K863" s="1"/>
      <c r="L863" s="1"/>
      <c r="M863" s="1"/>
      <c r="N863" s="25"/>
      <c r="O863" s="25"/>
      <c r="P863" s="24"/>
      <c r="Q863" s="1"/>
      <c r="R863" s="1"/>
      <c r="S863" s="24"/>
      <c r="T863" s="1"/>
      <c r="U863" s="1"/>
      <c r="V863" s="24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24"/>
      <c r="G864" s="1"/>
      <c r="H864" s="1"/>
      <c r="I864" s="1"/>
      <c r="J864" s="25"/>
      <c r="K864" s="1"/>
      <c r="L864" s="1"/>
      <c r="M864" s="1"/>
      <c r="N864" s="25"/>
      <c r="O864" s="25"/>
      <c r="P864" s="24"/>
      <c r="Q864" s="1"/>
      <c r="R864" s="1"/>
      <c r="S864" s="24"/>
      <c r="T864" s="1"/>
      <c r="U864" s="1"/>
      <c r="V864" s="24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24"/>
      <c r="G865" s="1"/>
      <c r="H865" s="1"/>
      <c r="I865" s="1"/>
      <c r="J865" s="25"/>
      <c r="K865" s="1"/>
      <c r="L865" s="1"/>
      <c r="M865" s="1"/>
      <c r="N865" s="25"/>
      <c r="O865" s="25"/>
      <c r="P865" s="24"/>
      <c r="Q865" s="1"/>
      <c r="R865" s="1"/>
      <c r="S865" s="24"/>
      <c r="T865" s="1"/>
      <c r="U865" s="1"/>
      <c r="V865" s="24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24"/>
      <c r="G866" s="1"/>
      <c r="H866" s="1"/>
      <c r="I866" s="1"/>
      <c r="J866" s="25"/>
      <c r="K866" s="1"/>
      <c r="L866" s="1"/>
      <c r="M866" s="1"/>
      <c r="N866" s="25"/>
      <c r="O866" s="25"/>
      <c r="P866" s="24"/>
      <c r="Q866" s="1"/>
      <c r="R866" s="1"/>
      <c r="S866" s="24"/>
      <c r="T866" s="1"/>
      <c r="U866" s="1"/>
      <c r="V866" s="24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24"/>
      <c r="G867" s="1"/>
      <c r="H867" s="1"/>
      <c r="I867" s="1"/>
      <c r="J867" s="25"/>
      <c r="K867" s="1"/>
      <c r="L867" s="1"/>
      <c r="M867" s="1"/>
      <c r="N867" s="25"/>
      <c r="O867" s="25"/>
      <c r="P867" s="24"/>
      <c r="Q867" s="1"/>
      <c r="R867" s="1"/>
      <c r="S867" s="24"/>
      <c r="T867" s="1"/>
      <c r="U867" s="1"/>
      <c r="V867" s="24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24"/>
      <c r="G868" s="1"/>
      <c r="H868" s="1"/>
      <c r="I868" s="1"/>
      <c r="J868" s="25"/>
      <c r="K868" s="1"/>
      <c r="L868" s="1"/>
      <c r="M868" s="1"/>
      <c r="N868" s="25"/>
      <c r="O868" s="25"/>
      <c r="P868" s="24"/>
      <c r="Q868" s="1"/>
      <c r="R868" s="1"/>
      <c r="S868" s="24"/>
      <c r="T868" s="1"/>
      <c r="U868" s="1"/>
      <c r="V868" s="24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24"/>
      <c r="G869" s="1"/>
      <c r="H869" s="1"/>
      <c r="I869" s="1"/>
      <c r="J869" s="25"/>
      <c r="K869" s="1"/>
      <c r="L869" s="1"/>
      <c r="M869" s="1"/>
      <c r="N869" s="25"/>
      <c r="O869" s="25"/>
      <c r="P869" s="24"/>
      <c r="Q869" s="1"/>
      <c r="R869" s="1"/>
      <c r="S869" s="24"/>
      <c r="T869" s="1"/>
      <c r="U869" s="1"/>
      <c r="V869" s="24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24"/>
      <c r="G870" s="1"/>
      <c r="H870" s="1"/>
      <c r="I870" s="1"/>
      <c r="J870" s="25"/>
      <c r="K870" s="1"/>
      <c r="L870" s="1"/>
      <c r="M870" s="1"/>
      <c r="N870" s="25"/>
      <c r="O870" s="25"/>
      <c r="P870" s="24"/>
      <c r="Q870" s="1"/>
      <c r="R870" s="1"/>
      <c r="S870" s="24"/>
      <c r="T870" s="1"/>
      <c r="U870" s="1"/>
      <c r="V870" s="24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24"/>
      <c r="G871" s="1"/>
      <c r="H871" s="1"/>
      <c r="I871" s="1"/>
      <c r="J871" s="25"/>
      <c r="K871" s="1"/>
      <c r="L871" s="1"/>
      <c r="M871" s="1"/>
      <c r="N871" s="25"/>
      <c r="O871" s="25"/>
      <c r="P871" s="24"/>
      <c r="Q871" s="1"/>
      <c r="R871" s="1"/>
      <c r="S871" s="24"/>
      <c r="T871" s="1"/>
      <c r="U871" s="1"/>
      <c r="V871" s="24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24"/>
      <c r="G872" s="1"/>
      <c r="H872" s="1"/>
      <c r="I872" s="1"/>
      <c r="J872" s="25"/>
      <c r="K872" s="1"/>
      <c r="L872" s="1"/>
      <c r="M872" s="1"/>
      <c r="N872" s="25"/>
      <c r="O872" s="25"/>
      <c r="P872" s="24"/>
      <c r="Q872" s="1"/>
      <c r="R872" s="1"/>
      <c r="S872" s="24"/>
      <c r="T872" s="1"/>
      <c r="U872" s="1"/>
      <c r="V872" s="24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24"/>
      <c r="G873" s="1"/>
      <c r="H873" s="1"/>
      <c r="I873" s="1"/>
      <c r="J873" s="25"/>
      <c r="K873" s="1"/>
      <c r="L873" s="1"/>
      <c r="M873" s="1"/>
      <c r="N873" s="25"/>
      <c r="O873" s="25"/>
      <c r="P873" s="24"/>
      <c r="Q873" s="1"/>
      <c r="R873" s="1"/>
      <c r="S873" s="24"/>
      <c r="T873" s="1"/>
      <c r="U873" s="1"/>
      <c r="V873" s="24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24"/>
      <c r="G874" s="1"/>
      <c r="H874" s="1"/>
      <c r="I874" s="1"/>
      <c r="J874" s="25"/>
      <c r="K874" s="1"/>
      <c r="L874" s="1"/>
      <c r="M874" s="1"/>
      <c r="N874" s="25"/>
      <c r="O874" s="25"/>
      <c r="P874" s="24"/>
      <c r="Q874" s="1"/>
      <c r="R874" s="1"/>
      <c r="S874" s="24"/>
      <c r="T874" s="1"/>
      <c r="U874" s="1"/>
      <c r="V874" s="24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24"/>
      <c r="G875" s="1"/>
      <c r="H875" s="1"/>
      <c r="I875" s="1"/>
      <c r="J875" s="25"/>
      <c r="K875" s="1"/>
      <c r="L875" s="1"/>
      <c r="M875" s="1"/>
      <c r="N875" s="25"/>
      <c r="O875" s="25"/>
      <c r="P875" s="24"/>
      <c r="Q875" s="1"/>
      <c r="R875" s="1"/>
      <c r="S875" s="24"/>
      <c r="T875" s="1"/>
      <c r="U875" s="1"/>
      <c r="V875" s="24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24"/>
      <c r="G876" s="1"/>
      <c r="H876" s="1"/>
      <c r="I876" s="1"/>
      <c r="J876" s="25"/>
      <c r="K876" s="1"/>
      <c r="L876" s="1"/>
      <c r="M876" s="1"/>
      <c r="N876" s="25"/>
      <c r="O876" s="25"/>
      <c r="P876" s="24"/>
      <c r="Q876" s="1"/>
      <c r="R876" s="1"/>
      <c r="S876" s="24"/>
      <c r="T876" s="1"/>
      <c r="U876" s="1"/>
      <c r="V876" s="24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24"/>
      <c r="G877" s="1"/>
      <c r="H877" s="1"/>
      <c r="I877" s="1"/>
      <c r="J877" s="25"/>
      <c r="K877" s="1"/>
      <c r="L877" s="1"/>
      <c r="M877" s="1"/>
      <c r="N877" s="25"/>
      <c r="O877" s="25"/>
      <c r="P877" s="24"/>
      <c r="Q877" s="1"/>
      <c r="R877" s="1"/>
      <c r="S877" s="24"/>
      <c r="T877" s="1"/>
      <c r="U877" s="1"/>
      <c r="V877" s="24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24"/>
      <c r="G878" s="1"/>
      <c r="H878" s="1"/>
      <c r="I878" s="1"/>
      <c r="J878" s="25"/>
      <c r="K878" s="1"/>
      <c r="L878" s="1"/>
      <c r="M878" s="1"/>
      <c r="N878" s="25"/>
      <c r="O878" s="25"/>
      <c r="P878" s="24"/>
      <c r="Q878" s="1"/>
      <c r="R878" s="1"/>
      <c r="S878" s="24"/>
      <c r="T878" s="1"/>
      <c r="U878" s="1"/>
      <c r="V878" s="24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24"/>
      <c r="G879" s="1"/>
      <c r="H879" s="1"/>
      <c r="I879" s="1"/>
      <c r="J879" s="25"/>
      <c r="K879" s="1"/>
      <c r="L879" s="1"/>
      <c r="M879" s="1"/>
      <c r="N879" s="25"/>
      <c r="O879" s="25"/>
      <c r="P879" s="24"/>
      <c r="Q879" s="1"/>
      <c r="R879" s="1"/>
      <c r="S879" s="24"/>
      <c r="T879" s="1"/>
      <c r="U879" s="1"/>
      <c r="V879" s="24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24"/>
      <c r="G880" s="1"/>
      <c r="H880" s="1"/>
      <c r="I880" s="1"/>
      <c r="J880" s="25"/>
      <c r="K880" s="1"/>
      <c r="L880" s="1"/>
      <c r="M880" s="1"/>
      <c r="N880" s="25"/>
      <c r="O880" s="25"/>
      <c r="P880" s="24"/>
      <c r="Q880" s="1"/>
      <c r="R880" s="1"/>
      <c r="S880" s="24"/>
      <c r="T880" s="1"/>
      <c r="U880" s="1"/>
      <c r="V880" s="24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24"/>
      <c r="G881" s="1"/>
      <c r="H881" s="1"/>
      <c r="I881" s="1"/>
      <c r="J881" s="25"/>
      <c r="K881" s="1"/>
      <c r="L881" s="1"/>
      <c r="M881" s="1"/>
      <c r="N881" s="25"/>
      <c r="O881" s="25"/>
      <c r="P881" s="24"/>
      <c r="Q881" s="1"/>
      <c r="R881" s="1"/>
      <c r="S881" s="24"/>
      <c r="T881" s="1"/>
      <c r="U881" s="1"/>
      <c r="V881" s="24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24"/>
      <c r="G882" s="1"/>
      <c r="H882" s="1"/>
      <c r="I882" s="1"/>
      <c r="J882" s="25"/>
      <c r="K882" s="1"/>
      <c r="L882" s="1"/>
      <c r="M882" s="1"/>
      <c r="N882" s="25"/>
      <c r="O882" s="25"/>
      <c r="P882" s="24"/>
      <c r="Q882" s="1"/>
      <c r="R882" s="1"/>
      <c r="S882" s="24"/>
      <c r="T882" s="1"/>
      <c r="U882" s="1"/>
      <c r="V882" s="24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24"/>
      <c r="G883" s="1"/>
      <c r="H883" s="1"/>
      <c r="I883" s="1"/>
      <c r="J883" s="25"/>
      <c r="K883" s="1"/>
      <c r="L883" s="1"/>
      <c r="M883" s="1"/>
      <c r="N883" s="25"/>
      <c r="O883" s="25"/>
      <c r="P883" s="24"/>
      <c r="Q883" s="1"/>
      <c r="R883" s="1"/>
      <c r="S883" s="24"/>
      <c r="T883" s="1"/>
      <c r="U883" s="1"/>
      <c r="V883" s="24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24"/>
      <c r="G884" s="1"/>
      <c r="H884" s="1"/>
      <c r="I884" s="1"/>
      <c r="J884" s="25"/>
      <c r="K884" s="1"/>
      <c r="L884" s="1"/>
      <c r="M884" s="1"/>
      <c r="N884" s="25"/>
      <c r="O884" s="25"/>
      <c r="P884" s="24"/>
      <c r="Q884" s="1"/>
      <c r="R884" s="1"/>
      <c r="S884" s="24"/>
      <c r="T884" s="1"/>
      <c r="U884" s="1"/>
      <c r="V884" s="24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24"/>
      <c r="G885" s="1"/>
      <c r="H885" s="1"/>
      <c r="I885" s="1"/>
      <c r="J885" s="25"/>
      <c r="K885" s="1"/>
      <c r="L885" s="1"/>
      <c r="M885" s="1"/>
      <c r="N885" s="25"/>
      <c r="O885" s="25"/>
      <c r="P885" s="24"/>
      <c r="Q885" s="1"/>
      <c r="R885" s="1"/>
      <c r="S885" s="24"/>
      <c r="T885" s="1"/>
      <c r="U885" s="1"/>
      <c r="V885" s="24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24"/>
      <c r="G886" s="1"/>
      <c r="H886" s="1"/>
      <c r="I886" s="1"/>
      <c r="J886" s="25"/>
      <c r="K886" s="1"/>
      <c r="L886" s="1"/>
      <c r="M886" s="1"/>
      <c r="N886" s="25"/>
      <c r="O886" s="25"/>
      <c r="P886" s="24"/>
      <c r="Q886" s="1"/>
      <c r="R886" s="1"/>
      <c r="S886" s="24"/>
      <c r="T886" s="1"/>
      <c r="U886" s="1"/>
      <c r="V886" s="24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24"/>
      <c r="G887" s="1"/>
      <c r="H887" s="1"/>
      <c r="I887" s="1"/>
      <c r="J887" s="25"/>
      <c r="K887" s="1"/>
      <c r="L887" s="1"/>
      <c r="M887" s="1"/>
      <c r="N887" s="25"/>
      <c r="O887" s="25"/>
      <c r="P887" s="24"/>
      <c r="Q887" s="1"/>
      <c r="R887" s="1"/>
      <c r="S887" s="24"/>
      <c r="T887" s="1"/>
      <c r="U887" s="1"/>
      <c r="V887" s="24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24"/>
      <c r="G888" s="1"/>
      <c r="H888" s="1"/>
      <c r="I888" s="1"/>
      <c r="J888" s="25"/>
      <c r="K888" s="1"/>
      <c r="L888" s="1"/>
      <c r="M888" s="1"/>
      <c r="N888" s="25"/>
      <c r="O888" s="25"/>
      <c r="P888" s="24"/>
      <c r="Q888" s="1"/>
      <c r="R888" s="1"/>
      <c r="S888" s="24"/>
      <c r="T888" s="1"/>
      <c r="U888" s="1"/>
      <c r="V888" s="24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24"/>
      <c r="G889" s="1"/>
      <c r="H889" s="1"/>
      <c r="I889" s="1"/>
      <c r="J889" s="25"/>
      <c r="K889" s="1"/>
      <c r="L889" s="1"/>
      <c r="M889" s="1"/>
      <c r="N889" s="25"/>
      <c r="O889" s="25"/>
      <c r="P889" s="24"/>
      <c r="Q889" s="1"/>
      <c r="R889" s="1"/>
      <c r="S889" s="24"/>
      <c r="T889" s="1"/>
      <c r="U889" s="1"/>
      <c r="V889" s="24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24"/>
      <c r="G890" s="1"/>
      <c r="H890" s="1"/>
      <c r="I890" s="1"/>
      <c r="J890" s="25"/>
      <c r="K890" s="1"/>
      <c r="L890" s="1"/>
      <c r="M890" s="1"/>
      <c r="N890" s="25"/>
      <c r="O890" s="25"/>
      <c r="P890" s="24"/>
      <c r="Q890" s="1"/>
      <c r="R890" s="1"/>
      <c r="S890" s="24"/>
      <c r="T890" s="1"/>
      <c r="U890" s="1"/>
      <c r="V890" s="24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24"/>
      <c r="G891" s="1"/>
      <c r="H891" s="1"/>
      <c r="I891" s="1"/>
      <c r="J891" s="25"/>
      <c r="K891" s="1"/>
      <c r="L891" s="1"/>
      <c r="M891" s="1"/>
      <c r="N891" s="25"/>
      <c r="O891" s="25"/>
      <c r="P891" s="24"/>
      <c r="Q891" s="1"/>
      <c r="R891" s="1"/>
      <c r="S891" s="24"/>
      <c r="T891" s="1"/>
      <c r="U891" s="1"/>
      <c r="V891" s="24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24"/>
      <c r="G892" s="1"/>
      <c r="H892" s="1"/>
      <c r="I892" s="1"/>
      <c r="J892" s="25"/>
      <c r="K892" s="1"/>
      <c r="L892" s="1"/>
      <c r="M892" s="1"/>
      <c r="N892" s="25"/>
      <c r="O892" s="25"/>
      <c r="P892" s="24"/>
      <c r="Q892" s="1"/>
      <c r="R892" s="1"/>
      <c r="S892" s="24"/>
      <c r="T892" s="1"/>
      <c r="U892" s="1"/>
      <c r="V892" s="24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24"/>
      <c r="G893" s="1"/>
      <c r="H893" s="1"/>
      <c r="I893" s="1"/>
      <c r="J893" s="25"/>
      <c r="K893" s="1"/>
      <c r="L893" s="1"/>
      <c r="M893" s="1"/>
      <c r="N893" s="25"/>
      <c r="O893" s="25"/>
      <c r="P893" s="24"/>
      <c r="Q893" s="1"/>
      <c r="R893" s="1"/>
      <c r="S893" s="24"/>
      <c r="T893" s="1"/>
      <c r="U893" s="1"/>
      <c r="V893" s="24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24"/>
      <c r="G894" s="1"/>
      <c r="H894" s="1"/>
      <c r="I894" s="1"/>
      <c r="J894" s="25"/>
      <c r="K894" s="1"/>
      <c r="L894" s="1"/>
      <c r="M894" s="1"/>
      <c r="N894" s="25"/>
      <c r="O894" s="25"/>
      <c r="P894" s="24"/>
      <c r="Q894" s="1"/>
      <c r="R894" s="1"/>
      <c r="S894" s="24"/>
      <c r="T894" s="1"/>
      <c r="U894" s="1"/>
      <c r="V894" s="24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24"/>
      <c r="G895" s="1"/>
      <c r="H895" s="1"/>
      <c r="I895" s="1"/>
      <c r="J895" s="25"/>
      <c r="K895" s="1"/>
      <c r="L895" s="1"/>
      <c r="M895" s="1"/>
      <c r="N895" s="25"/>
      <c r="O895" s="25"/>
      <c r="P895" s="24"/>
      <c r="Q895" s="1"/>
      <c r="R895" s="1"/>
      <c r="S895" s="24"/>
      <c r="T895" s="1"/>
      <c r="U895" s="1"/>
      <c r="V895" s="24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24"/>
      <c r="G896" s="1"/>
      <c r="H896" s="1"/>
      <c r="I896" s="1"/>
      <c r="J896" s="25"/>
      <c r="K896" s="1"/>
      <c r="L896" s="1"/>
      <c r="M896" s="1"/>
      <c r="N896" s="25"/>
      <c r="O896" s="25"/>
      <c r="P896" s="24"/>
      <c r="Q896" s="1"/>
      <c r="R896" s="1"/>
      <c r="S896" s="24"/>
      <c r="T896" s="1"/>
      <c r="U896" s="1"/>
      <c r="V896" s="24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24"/>
      <c r="G897" s="1"/>
      <c r="H897" s="1"/>
      <c r="I897" s="1"/>
      <c r="J897" s="25"/>
      <c r="K897" s="1"/>
      <c r="L897" s="1"/>
      <c r="M897" s="1"/>
      <c r="N897" s="25"/>
      <c r="O897" s="25"/>
      <c r="P897" s="24"/>
      <c r="Q897" s="1"/>
      <c r="R897" s="1"/>
      <c r="S897" s="24"/>
      <c r="T897" s="1"/>
      <c r="U897" s="1"/>
      <c r="V897" s="24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24"/>
      <c r="G898" s="1"/>
      <c r="H898" s="1"/>
      <c r="I898" s="1"/>
      <c r="J898" s="25"/>
      <c r="K898" s="1"/>
      <c r="L898" s="1"/>
      <c r="M898" s="1"/>
      <c r="N898" s="25"/>
      <c r="O898" s="25"/>
      <c r="P898" s="24"/>
      <c r="Q898" s="1"/>
      <c r="R898" s="1"/>
      <c r="S898" s="24"/>
      <c r="T898" s="1"/>
      <c r="U898" s="1"/>
      <c r="V898" s="24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24"/>
      <c r="G899" s="1"/>
      <c r="H899" s="1"/>
      <c r="I899" s="1"/>
      <c r="J899" s="25"/>
      <c r="K899" s="1"/>
      <c r="L899" s="1"/>
      <c r="M899" s="1"/>
      <c r="N899" s="25"/>
      <c r="O899" s="25"/>
      <c r="P899" s="24"/>
      <c r="Q899" s="1"/>
      <c r="R899" s="1"/>
      <c r="S899" s="24"/>
      <c r="T899" s="1"/>
      <c r="U899" s="1"/>
      <c r="V899" s="24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24"/>
      <c r="G900" s="1"/>
      <c r="H900" s="1"/>
      <c r="I900" s="1"/>
      <c r="J900" s="25"/>
      <c r="K900" s="1"/>
      <c r="L900" s="1"/>
      <c r="M900" s="1"/>
      <c r="N900" s="25"/>
      <c r="O900" s="25"/>
      <c r="P900" s="24"/>
      <c r="Q900" s="1"/>
      <c r="R900" s="1"/>
      <c r="S900" s="24"/>
      <c r="T900" s="1"/>
      <c r="U900" s="1"/>
      <c r="V900" s="24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24"/>
      <c r="G901" s="1"/>
      <c r="H901" s="1"/>
      <c r="I901" s="1"/>
      <c r="J901" s="25"/>
      <c r="K901" s="1"/>
      <c r="L901" s="1"/>
      <c r="M901" s="1"/>
      <c r="N901" s="25"/>
      <c r="O901" s="25"/>
      <c r="P901" s="24"/>
      <c r="Q901" s="1"/>
      <c r="R901" s="1"/>
      <c r="S901" s="24"/>
      <c r="T901" s="1"/>
      <c r="U901" s="1"/>
      <c r="V901" s="24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24"/>
      <c r="G902" s="1"/>
      <c r="H902" s="1"/>
      <c r="I902" s="1"/>
      <c r="J902" s="25"/>
      <c r="K902" s="1"/>
      <c r="L902" s="1"/>
      <c r="M902" s="1"/>
      <c r="N902" s="25"/>
      <c r="O902" s="25"/>
      <c r="P902" s="24"/>
      <c r="Q902" s="1"/>
      <c r="R902" s="1"/>
      <c r="S902" s="24"/>
      <c r="T902" s="1"/>
      <c r="U902" s="1"/>
      <c r="V902" s="24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24"/>
      <c r="G903" s="1"/>
      <c r="H903" s="1"/>
      <c r="I903" s="1"/>
      <c r="J903" s="25"/>
      <c r="K903" s="1"/>
      <c r="L903" s="1"/>
      <c r="M903" s="1"/>
      <c r="N903" s="25"/>
      <c r="O903" s="25"/>
      <c r="P903" s="24"/>
      <c r="Q903" s="1"/>
      <c r="R903" s="1"/>
      <c r="S903" s="24"/>
      <c r="T903" s="1"/>
      <c r="U903" s="1"/>
      <c r="V903" s="24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24"/>
      <c r="G904" s="1"/>
      <c r="H904" s="1"/>
      <c r="I904" s="1"/>
      <c r="J904" s="25"/>
      <c r="K904" s="1"/>
      <c r="L904" s="1"/>
      <c r="M904" s="1"/>
      <c r="N904" s="25"/>
      <c r="O904" s="25"/>
      <c r="P904" s="24"/>
      <c r="Q904" s="1"/>
      <c r="R904" s="1"/>
      <c r="S904" s="24"/>
      <c r="T904" s="1"/>
      <c r="U904" s="1"/>
      <c r="V904" s="24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24"/>
      <c r="G905" s="1"/>
      <c r="H905" s="1"/>
      <c r="I905" s="1"/>
      <c r="J905" s="25"/>
      <c r="K905" s="1"/>
      <c r="L905" s="1"/>
      <c r="M905" s="1"/>
      <c r="N905" s="25"/>
      <c r="O905" s="25"/>
      <c r="P905" s="24"/>
      <c r="Q905" s="1"/>
      <c r="R905" s="1"/>
      <c r="S905" s="24"/>
      <c r="T905" s="1"/>
      <c r="U905" s="1"/>
      <c r="V905" s="24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24"/>
      <c r="G906" s="1"/>
      <c r="H906" s="1"/>
      <c r="I906" s="1"/>
      <c r="J906" s="25"/>
      <c r="K906" s="1"/>
      <c r="L906" s="1"/>
      <c r="M906" s="1"/>
      <c r="N906" s="25"/>
      <c r="O906" s="25"/>
      <c r="P906" s="24"/>
      <c r="Q906" s="1"/>
      <c r="R906" s="1"/>
      <c r="S906" s="24"/>
      <c r="T906" s="1"/>
      <c r="U906" s="1"/>
      <c r="V906" s="24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24"/>
      <c r="G907" s="1"/>
      <c r="H907" s="1"/>
      <c r="I907" s="1"/>
      <c r="J907" s="25"/>
      <c r="K907" s="1"/>
      <c r="L907" s="1"/>
      <c r="M907" s="1"/>
      <c r="N907" s="25"/>
      <c r="O907" s="25"/>
      <c r="P907" s="24"/>
      <c r="Q907" s="1"/>
      <c r="R907" s="1"/>
      <c r="S907" s="24"/>
      <c r="T907" s="1"/>
      <c r="U907" s="1"/>
      <c r="V907" s="24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24"/>
      <c r="G908" s="1"/>
      <c r="H908" s="1"/>
      <c r="I908" s="1"/>
      <c r="J908" s="25"/>
      <c r="K908" s="1"/>
      <c r="L908" s="1"/>
      <c r="M908" s="1"/>
      <c r="N908" s="25"/>
      <c r="O908" s="25"/>
      <c r="P908" s="24"/>
      <c r="Q908" s="1"/>
      <c r="R908" s="1"/>
      <c r="S908" s="24"/>
      <c r="T908" s="1"/>
      <c r="U908" s="1"/>
      <c r="V908" s="24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24"/>
      <c r="G909" s="1"/>
      <c r="H909" s="1"/>
      <c r="I909" s="1"/>
      <c r="J909" s="25"/>
      <c r="K909" s="1"/>
      <c r="L909" s="1"/>
      <c r="M909" s="1"/>
      <c r="N909" s="25"/>
      <c r="O909" s="25"/>
      <c r="P909" s="24"/>
      <c r="Q909" s="1"/>
      <c r="R909" s="1"/>
      <c r="S909" s="24"/>
      <c r="T909" s="1"/>
      <c r="U909" s="1"/>
      <c r="V909" s="24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24"/>
      <c r="G910" s="1"/>
      <c r="H910" s="1"/>
      <c r="I910" s="1"/>
      <c r="J910" s="25"/>
      <c r="K910" s="1"/>
      <c r="L910" s="1"/>
      <c r="M910" s="1"/>
      <c r="N910" s="25"/>
      <c r="O910" s="25"/>
      <c r="P910" s="24"/>
      <c r="Q910" s="1"/>
      <c r="R910" s="1"/>
      <c r="S910" s="24"/>
      <c r="T910" s="1"/>
      <c r="U910" s="1"/>
      <c r="V910" s="24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24"/>
      <c r="G911" s="1"/>
      <c r="H911" s="1"/>
      <c r="I911" s="1"/>
      <c r="J911" s="25"/>
      <c r="K911" s="1"/>
      <c r="L911" s="1"/>
      <c r="M911" s="1"/>
      <c r="N911" s="25"/>
      <c r="O911" s="25"/>
      <c r="P911" s="24"/>
      <c r="Q911" s="1"/>
      <c r="R911" s="1"/>
      <c r="S911" s="24"/>
      <c r="T911" s="1"/>
      <c r="U911" s="1"/>
      <c r="V911" s="24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24"/>
      <c r="G912" s="1"/>
      <c r="H912" s="1"/>
      <c r="I912" s="1"/>
      <c r="J912" s="25"/>
      <c r="K912" s="1"/>
      <c r="L912" s="1"/>
      <c r="M912" s="1"/>
      <c r="N912" s="25"/>
      <c r="O912" s="25"/>
      <c r="P912" s="24"/>
      <c r="Q912" s="1"/>
      <c r="R912" s="1"/>
      <c r="S912" s="24"/>
      <c r="T912" s="1"/>
      <c r="U912" s="1"/>
      <c r="V912" s="24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24"/>
      <c r="G913" s="1"/>
      <c r="H913" s="1"/>
      <c r="I913" s="1"/>
      <c r="J913" s="25"/>
      <c r="K913" s="1"/>
      <c r="L913" s="1"/>
      <c r="M913" s="1"/>
      <c r="N913" s="25"/>
      <c r="O913" s="25"/>
      <c r="P913" s="24"/>
      <c r="Q913" s="1"/>
      <c r="R913" s="1"/>
      <c r="S913" s="24"/>
      <c r="T913" s="1"/>
      <c r="U913" s="1"/>
      <c r="V913" s="24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24"/>
      <c r="G914" s="1"/>
      <c r="H914" s="1"/>
      <c r="I914" s="1"/>
      <c r="J914" s="25"/>
      <c r="K914" s="1"/>
      <c r="L914" s="1"/>
      <c r="M914" s="1"/>
      <c r="N914" s="25"/>
      <c r="O914" s="25"/>
      <c r="P914" s="24"/>
      <c r="Q914" s="1"/>
      <c r="R914" s="1"/>
      <c r="S914" s="24"/>
      <c r="T914" s="1"/>
      <c r="U914" s="1"/>
      <c r="V914" s="24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24"/>
      <c r="G915" s="1"/>
      <c r="H915" s="1"/>
      <c r="I915" s="1"/>
      <c r="J915" s="25"/>
      <c r="K915" s="1"/>
      <c r="L915" s="1"/>
      <c r="M915" s="1"/>
      <c r="N915" s="25"/>
      <c r="O915" s="25"/>
      <c r="P915" s="24"/>
      <c r="Q915" s="1"/>
      <c r="R915" s="1"/>
      <c r="S915" s="24"/>
      <c r="T915" s="1"/>
      <c r="U915" s="1"/>
      <c r="V915" s="24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24"/>
      <c r="G916" s="1"/>
      <c r="H916" s="1"/>
      <c r="I916" s="1"/>
      <c r="J916" s="25"/>
      <c r="K916" s="1"/>
      <c r="L916" s="1"/>
      <c r="M916" s="1"/>
      <c r="N916" s="25"/>
      <c r="O916" s="25"/>
      <c r="P916" s="24"/>
      <c r="Q916" s="1"/>
      <c r="R916" s="1"/>
      <c r="S916" s="24"/>
      <c r="T916" s="1"/>
      <c r="U916" s="1"/>
      <c r="V916" s="24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24"/>
      <c r="G917" s="1"/>
      <c r="H917" s="1"/>
      <c r="I917" s="1"/>
      <c r="J917" s="25"/>
      <c r="K917" s="1"/>
      <c r="L917" s="1"/>
      <c r="M917" s="1"/>
      <c r="N917" s="25"/>
      <c r="O917" s="25"/>
      <c r="P917" s="24"/>
      <c r="Q917" s="1"/>
      <c r="R917" s="1"/>
      <c r="S917" s="24"/>
      <c r="T917" s="1"/>
      <c r="U917" s="1"/>
      <c r="V917" s="24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24"/>
      <c r="G918" s="1"/>
      <c r="H918" s="1"/>
      <c r="I918" s="1"/>
      <c r="J918" s="25"/>
      <c r="K918" s="1"/>
      <c r="L918" s="1"/>
      <c r="M918" s="1"/>
      <c r="N918" s="25"/>
      <c r="O918" s="25"/>
      <c r="P918" s="24"/>
      <c r="Q918" s="1"/>
      <c r="R918" s="1"/>
      <c r="S918" s="24"/>
      <c r="T918" s="1"/>
      <c r="U918" s="1"/>
      <c r="V918" s="24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24"/>
      <c r="G919" s="1"/>
      <c r="H919" s="1"/>
      <c r="I919" s="1"/>
      <c r="J919" s="25"/>
      <c r="K919" s="1"/>
      <c r="L919" s="1"/>
      <c r="M919" s="1"/>
      <c r="N919" s="25"/>
      <c r="O919" s="25"/>
      <c r="P919" s="24"/>
      <c r="Q919" s="1"/>
      <c r="R919" s="1"/>
      <c r="S919" s="24"/>
      <c r="T919" s="1"/>
      <c r="U919" s="1"/>
      <c r="V919" s="24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24"/>
      <c r="G920" s="1"/>
      <c r="H920" s="1"/>
      <c r="I920" s="1"/>
      <c r="J920" s="25"/>
      <c r="K920" s="1"/>
      <c r="L920" s="1"/>
      <c r="M920" s="1"/>
      <c r="N920" s="25"/>
      <c r="O920" s="25"/>
      <c r="P920" s="24"/>
      <c r="Q920" s="1"/>
      <c r="R920" s="1"/>
      <c r="S920" s="24"/>
      <c r="T920" s="1"/>
      <c r="U920" s="1"/>
      <c r="V920" s="24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24"/>
      <c r="G921" s="1"/>
      <c r="H921" s="1"/>
      <c r="I921" s="1"/>
      <c r="J921" s="25"/>
      <c r="K921" s="1"/>
      <c r="L921" s="1"/>
      <c r="M921" s="1"/>
      <c r="N921" s="25"/>
      <c r="O921" s="25"/>
      <c r="P921" s="24"/>
      <c r="Q921" s="1"/>
      <c r="R921" s="1"/>
      <c r="S921" s="24"/>
      <c r="T921" s="1"/>
      <c r="U921" s="1"/>
      <c r="V921" s="24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24"/>
      <c r="G922" s="1"/>
      <c r="H922" s="1"/>
      <c r="I922" s="1"/>
      <c r="J922" s="25"/>
      <c r="K922" s="1"/>
      <c r="L922" s="1"/>
      <c r="M922" s="1"/>
      <c r="N922" s="25"/>
      <c r="O922" s="25"/>
      <c r="P922" s="24"/>
      <c r="Q922" s="1"/>
      <c r="R922" s="1"/>
      <c r="S922" s="24"/>
      <c r="T922" s="1"/>
      <c r="U922" s="1"/>
      <c r="V922" s="24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24"/>
      <c r="G923" s="1"/>
      <c r="H923" s="1"/>
      <c r="I923" s="1"/>
      <c r="J923" s="25"/>
      <c r="K923" s="1"/>
      <c r="L923" s="1"/>
      <c r="M923" s="1"/>
      <c r="N923" s="25"/>
      <c r="O923" s="25"/>
      <c r="P923" s="24"/>
      <c r="Q923" s="1"/>
      <c r="R923" s="1"/>
      <c r="S923" s="24"/>
      <c r="T923" s="1"/>
      <c r="U923" s="1"/>
      <c r="V923" s="24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24"/>
      <c r="G924" s="1"/>
      <c r="H924" s="1"/>
      <c r="I924" s="1"/>
      <c r="J924" s="25"/>
      <c r="K924" s="1"/>
      <c r="L924" s="1"/>
      <c r="M924" s="1"/>
      <c r="N924" s="25"/>
      <c r="O924" s="25"/>
      <c r="P924" s="24"/>
      <c r="Q924" s="1"/>
      <c r="R924" s="1"/>
      <c r="S924" s="24"/>
      <c r="T924" s="1"/>
      <c r="U924" s="1"/>
      <c r="V924" s="24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24"/>
      <c r="G925" s="1"/>
      <c r="H925" s="1"/>
      <c r="I925" s="1"/>
      <c r="J925" s="25"/>
      <c r="K925" s="1"/>
      <c r="L925" s="1"/>
      <c r="M925" s="1"/>
      <c r="N925" s="25"/>
      <c r="O925" s="25"/>
      <c r="P925" s="24"/>
      <c r="Q925" s="1"/>
      <c r="R925" s="1"/>
      <c r="S925" s="24"/>
      <c r="T925" s="1"/>
      <c r="U925" s="1"/>
      <c r="V925" s="24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24"/>
      <c r="G926" s="1"/>
      <c r="H926" s="1"/>
      <c r="I926" s="1"/>
      <c r="J926" s="25"/>
      <c r="K926" s="1"/>
      <c r="L926" s="1"/>
      <c r="M926" s="1"/>
      <c r="N926" s="25"/>
      <c r="O926" s="25"/>
      <c r="P926" s="24"/>
      <c r="Q926" s="1"/>
      <c r="R926" s="1"/>
      <c r="S926" s="24"/>
      <c r="T926" s="1"/>
      <c r="U926" s="1"/>
      <c r="V926" s="24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24"/>
      <c r="G927" s="1"/>
      <c r="H927" s="1"/>
      <c r="I927" s="1"/>
      <c r="J927" s="25"/>
      <c r="K927" s="1"/>
      <c r="L927" s="1"/>
      <c r="M927" s="1"/>
      <c r="N927" s="25"/>
      <c r="O927" s="25"/>
      <c r="P927" s="24"/>
      <c r="Q927" s="1"/>
      <c r="R927" s="1"/>
      <c r="S927" s="24"/>
      <c r="T927" s="1"/>
      <c r="U927" s="1"/>
      <c r="V927" s="24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24"/>
      <c r="G928" s="1"/>
      <c r="H928" s="1"/>
      <c r="I928" s="1"/>
      <c r="J928" s="25"/>
      <c r="K928" s="1"/>
      <c r="L928" s="1"/>
      <c r="M928" s="1"/>
      <c r="N928" s="25"/>
      <c r="O928" s="25"/>
      <c r="P928" s="24"/>
      <c r="Q928" s="1"/>
      <c r="R928" s="1"/>
      <c r="S928" s="24"/>
      <c r="T928" s="1"/>
      <c r="U928" s="1"/>
      <c r="V928" s="24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24"/>
      <c r="G929" s="1"/>
      <c r="H929" s="1"/>
      <c r="I929" s="1"/>
      <c r="J929" s="25"/>
      <c r="K929" s="1"/>
      <c r="L929" s="1"/>
      <c r="M929" s="1"/>
      <c r="N929" s="25"/>
      <c r="O929" s="25"/>
      <c r="P929" s="24"/>
      <c r="Q929" s="1"/>
      <c r="R929" s="1"/>
      <c r="S929" s="24"/>
      <c r="T929" s="1"/>
      <c r="U929" s="1"/>
      <c r="V929" s="24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24"/>
      <c r="G930" s="1"/>
      <c r="H930" s="1"/>
      <c r="I930" s="1"/>
      <c r="J930" s="25"/>
      <c r="K930" s="1"/>
      <c r="L930" s="1"/>
      <c r="M930" s="1"/>
      <c r="N930" s="25"/>
      <c r="O930" s="25"/>
      <c r="P930" s="24"/>
      <c r="Q930" s="1"/>
      <c r="R930" s="1"/>
      <c r="S930" s="24"/>
      <c r="T930" s="1"/>
      <c r="U930" s="1"/>
      <c r="V930" s="24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24"/>
      <c r="G931" s="1"/>
      <c r="H931" s="1"/>
      <c r="I931" s="1"/>
      <c r="J931" s="25"/>
      <c r="K931" s="1"/>
      <c r="L931" s="1"/>
      <c r="M931" s="1"/>
      <c r="N931" s="25"/>
      <c r="O931" s="25"/>
      <c r="P931" s="24"/>
      <c r="Q931" s="1"/>
      <c r="R931" s="1"/>
      <c r="S931" s="24"/>
      <c r="T931" s="1"/>
      <c r="U931" s="1"/>
      <c r="V931" s="24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24"/>
      <c r="G932" s="1"/>
      <c r="H932" s="1"/>
      <c r="I932" s="1"/>
      <c r="J932" s="25"/>
      <c r="K932" s="1"/>
      <c r="L932" s="1"/>
      <c r="M932" s="1"/>
      <c r="N932" s="25"/>
      <c r="O932" s="25"/>
      <c r="P932" s="24"/>
      <c r="Q932" s="1"/>
      <c r="R932" s="1"/>
      <c r="S932" s="24"/>
      <c r="T932" s="1"/>
      <c r="U932" s="1"/>
      <c r="V932" s="24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24"/>
      <c r="G933" s="1"/>
      <c r="H933" s="1"/>
      <c r="I933" s="1"/>
      <c r="J933" s="25"/>
      <c r="K933" s="1"/>
      <c r="L933" s="1"/>
      <c r="M933" s="1"/>
      <c r="N933" s="25"/>
      <c r="O933" s="25"/>
      <c r="P933" s="24"/>
      <c r="Q933" s="1"/>
      <c r="R933" s="1"/>
      <c r="S933" s="24"/>
      <c r="T933" s="1"/>
      <c r="U933" s="1"/>
      <c r="V933" s="24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24"/>
      <c r="G934" s="1"/>
      <c r="H934" s="1"/>
      <c r="I934" s="1"/>
      <c r="J934" s="25"/>
      <c r="K934" s="1"/>
      <c r="L934" s="1"/>
      <c r="M934" s="1"/>
      <c r="N934" s="25"/>
      <c r="O934" s="25"/>
      <c r="P934" s="24"/>
      <c r="Q934" s="1"/>
      <c r="R934" s="1"/>
      <c r="S934" s="24"/>
      <c r="T934" s="1"/>
      <c r="U934" s="1"/>
      <c r="V934" s="24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24"/>
      <c r="G935" s="1"/>
      <c r="H935" s="1"/>
      <c r="I935" s="1"/>
      <c r="J935" s="25"/>
      <c r="K935" s="1"/>
      <c r="L935" s="1"/>
      <c r="M935" s="1"/>
      <c r="N935" s="25"/>
      <c r="O935" s="25"/>
      <c r="P935" s="24"/>
      <c r="Q935" s="1"/>
      <c r="R935" s="1"/>
      <c r="S935" s="24"/>
      <c r="T935" s="1"/>
      <c r="U935" s="1"/>
      <c r="V935" s="24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24"/>
      <c r="G936" s="1"/>
      <c r="H936" s="1"/>
      <c r="I936" s="1"/>
      <c r="J936" s="25"/>
      <c r="K936" s="1"/>
      <c r="L936" s="1"/>
      <c r="M936" s="1"/>
      <c r="N936" s="25"/>
      <c r="O936" s="25"/>
      <c r="P936" s="24"/>
      <c r="Q936" s="1"/>
      <c r="R936" s="1"/>
      <c r="S936" s="24"/>
      <c r="T936" s="1"/>
      <c r="U936" s="1"/>
      <c r="V936" s="24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24"/>
      <c r="G937" s="1"/>
      <c r="H937" s="1"/>
      <c r="I937" s="1"/>
      <c r="J937" s="25"/>
      <c r="K937" s="1"/>
      <c r="L937" s="1"/>
      <c r="M937" s="1"/>
      <c r="N937" s="25"/>
      <c r="O937" s="25"/>
      <c r="P937" s="24"/>
      <c r="Q937" s="1"/>
      <c r="R937" s="1"/>
      <c r="S937" s="24"/>
      <c r="T937" s="1"/>
      <c r="U937" s="1"/>
      <c r="V937" s="24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24"/>
      <c r="G938" s="1"/>
      <c r="H938" s="1"/>
      <c r="I938" s="1"/>
      <c r="J938" s="25"/>
      <c r="K938" s="1"/>
      <c r="L938" s="1"/>
      <c r="M938" s="1"/>
      <c r="N938" s="25"/>
      <c r="O938" s="25"/>
      <c r="P938" s="24"/>
      <c r="Q938" s="1"/>
      <c r="R938" s="1"/>
      <c r="S938" s="24"/>
      <c r="T938" s="1"/>
      <c r="U938" s="1"/>
      <c r="V938" s="24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24"/>
      <c r="G939" s="1"/>
      <c r="H939" s="1"/>
      <c r="I939" s="1"/>
      <c r="J939" s="25"/>
      <c r="K939" s="1"/>
      <c r="L939" s="1"/>
      <c r="M939" s="1"/>
      <c r="N939" s="25"/>
      <c r="O939" s="25"/>
      <c r="P939" s="24"/>
      <c r="Q939" s="1"/>
      <c r="R939" s="1"/>
      <c r="S939" s="24"/>
      <c r="T939" s="1"/>
      <c r="U939" s="1"/>
      <c r="V939" s="24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24"/>
      <c r="G940" s="1"/>
      <c r="H940" s="1"/>
      <c r="I940" s="1"/>
      <c r="J940" s="25"/>
      <c r="K940" s="1"/>
      <c r="L940" s="1"/>
      <c r="M940" s="1"/>
      <c r="N940" s="25"/>
      <c r="O940" s="25"/>
      <c r="P940" s="24"/>
      <c r="Q940" s="1"/>
      <c r="R940" s="1"/>
      <c r="S940" s="24"/>
      <c r="T940" s="1"/>
      <c r="U940" s="1"/>
      <c r="V940" s="24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24"/>
      <c r="G941" s="1"/>
      <c r="H941" s="1"/>
      <c r="I941" s="1"/>
      <c r="J941" s="25"/>
      <c r="K941" s="1"/>
      <c r="L941" s="1"/>
      <c r="M941" s="1"/>
      <c r="N941" s="25"/>
      <c r="O941" s="25"/>
      <c r="P941" s="24"/>
      <c r="Q941" s="1"/>
      <c r="R941" s="1"/>
      <c r="S941" s="24"/>
      <c r="T941" s="1"/>
      <c r="U941" s="1"/>
      <c r="V941" s="24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24"/>
      <c r="G942" s="1"/>
      <c r="H942" s="1"/>
      <c r="I942" s="1"/>
      <c r="J942" s="25"/>
      <c r="K942" s="1"/>
      <c r="L942" s="1"/>
      <c r="M942" s="1"/>
      <c r="N942" s="25"/>
      <c r="O942" s="25"/>
      <c r="P942" s="24"/>
      <c r="Q942" s="1"/>
      <c r="R942" s="1"/>
      <c r="S942" s="24"/>
      <c r="T942" s="1"/>
      <c r="U942" s="1"/>
      <c r="V942" s="24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24"/>
      <c r="G943" s="1"/>
      <c r="H943" s="1"/>
      <c r="I943" s="1"/>
      <c r="J943" s="25"/>
      <c r="K943" s="1"/>
      <c r="L943" s="1"/>
      <c r="M943" s="1"/>
      <c r="N943" s="25"/>
      <c r="O943" s="25"/>
      <c r="P943" s="24"/>
      <c r="Q943" s="1"/>
      <c r="R943" s="1"/>
      <c r="S943" s="24"/>
      <c r="T943" s="1"/>
      <c r="U943" s="1"/>
      <c r="V943" s="24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24"/>
      <c r="G944" s="1"/>
      <c r="H944" s="1"/>
      <c r="I944" s="1"/>
      <c r="J944" s="25"/>
      <c r="K944" s="1"/>
      <c r="L944" s="1"/>
      <c r="M944" s="1"/>
      <c r="N944" s="25"/>
      <c r="O944" s="25"/>
      <c r="P944" s="24"/>
      <c r="Q944" s="1"/>
      <c r="R944" s="1"/>
      <c r="S944" s="24"/>
      <c r="T944" s="1"/>
      <c r="U944" s="1"/>
      <c r="V944" s="24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24"/>
      <c r="G945" s="1"/>
      <c r="H945" s="1"/>
      <c r="I945" s="1"/>
      <c r="J945" s="25"/>
      <c r="K945" s="1"/>
      <c r="L945" s="1"/>
      <c r="M945" s="1"/>
      <c r="N945" s="25"/>
      <c r="O945" s="25"/>
      <c r="P945" s="24"/>
      <c r="Q945" s="1"/>
      <c r="R945" s="1"/>
      <c r="S945" s="24"/>
      <c r="T945" s="1"/>
      <c r="U945" s="1"/>
      <c r="V945" s="24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24"/>
      <c r="G946" s="1"/>
      <c r="H946" s="1"/>
      <c r="I946" s="1"/>
      <c r="J946" s="25"/>
      <c r="K946" s="1"/>
      <c r="L946" s="1"/>
      <c r="M946" s="1"/>
      <c r="N946" s="25"/>
      <c r="O946" s="25"/>
      <c r="P946" s="24"/>
      <c r="Q946" s="1"/>
      <c r="R946" s="1"/>
      <c r="S946" s="24"/>
      <c r="T946" s="1"/>
      <c r="U946" s="1"/>
      <c r="V946" s="24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24"/>
      <c r="G947" s="1"/>
      <c r="H947" s="1"/>
      <c r="I947" s="1"/>
      <c r="J947" s="25"/>
      <c r="K947" s="1"/>
      <c r="L947" s="1"/>
      <c r="M947" s="1"/>
      <c r="N947" s="25"/>
      <c r="O947" s="25"/>
      <c r="P947" s="24"/>
      <c r="Q947" s="1"/>
      <c r="R947" s="1"/>
      <c r="S947" s="24"/>
      <c r="T947" s="1"/>
      <c r="U947" s="1"/>
      <c r="V947" s="24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24"/>
      <c r="G948" s="1"/>
      <c r="H948" s="1"/>
      <c r="I948" s="1"/>
      <c r="J948" s="25"/>
      <c r="K948" s="1"/>
      <c r="L948" s="1"/>
      <c r="M948" s="1"/>
      <c r="N948" s="25"/>
      <c r="O948" s="25"/>
      <c r="P948" s="24"/>
      <c r="Q948" s="1"/>
      <c r="R948" s="1"/>
      <c r="S948" s="24"/>
      <c r="T948" s="1"/>
      <c r="U948" s="1"/>
      <c r="V948" s="24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24"/>
      <c r="G949" s="1"/>
      <c r="H949" s="1"/>
      <c r="I949" s="1"/>
      <c r="J949" s="25"/>
      <c r="K949" s="1"/>
      <c r="L949" s="1"/>
      <c r="M949" s="1"/>
      <c r="N949" s="25"/>
      <c r="O949" s="25"/>
      <c r="P949" s="24"/>
      <c r="Q949" s="1"/>
      <c r="R949" s="1"/>
      <c r="S949" s="24"/>
      <c r="T949" s="1"/>
      <c r="U949" s="1"/>
      <c r="V949" s="24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24"/>
      <c r="G950" s="1"/>
      <c r="H950" s="1"/>
      <c r="I950" s="1"/>
      <c r="J950" s="25"/>
      <c r="K950" s="1"/>
      <c r="L950" s="1"/>
      <c r="M950" s="1"/>
      <c r="N950" s="25"/>
      <c r="O950" s="25"/>
      <c r="P950" s="24"/>
      <c r="Q950" s="1"/>
      <c r="R950" s="1"/>
      <c r="S950" s="24"/>
      <c r="T950" s="1"/>
      <c r="U950" s="1"/>
      <c r="V950" s="24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24"/>
      <c r="G951" s="1"/>
      <c r="H951" s="1"/>
      <c r="I951" s="1"/>
      <c r="J951" s="25"/>
      <c r="K951" s="1"/>
      <c r="L951" s="1"/>
      <c r="M951" s="1"/>
      <c r="N951" s="25"/>
      <c r="O951" s="25"/>
      <c r="P951" s="24"/>
      <c r="Q951" s="1"/>
      <c r="R951" s="1"/>
      <c r="S951" s="24"/>
      <c r="T951" s="1"/>
      <c r="U951" s="1"/>
      <c r="V951" s="24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24"/>
      <c r="G952" s="1"/>
      <c r="H952" s="1"/>
      <c r="I952" s="1"/>
      <c r="J952" s="25"/>
      <c r="K952" s="1"/>
      <c r="L952" s="1"/>
      <c r="M952" s="1"/>
      <c r="N952" s="25"/>
      <c r="O952" s="25"/>
      <c r="P952" s="24"/>
      <c r="Q952" s="1"/>
      <c r="R952" s="1"/>
      <c r="S952" s="24"/>
      <c r="T952" s="1"/>
      <c r="U952" s="1"/>
      <c r="V952" s="24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24"/>
      <c r="G953" s="1"/>
      <c r="H953" s="1"/>
      <c r="I953" s="1"/>
      <c r="J953" s="25"/>
      <c r="K953" s="1"/>
      <c r="L953" s="1"/>
      <c r="M953" s="1"/>
      <c r="N953" s="25"/>
      <c r="O953" s="25"/>
      <c r="P953" s="24"/>
      <c r="Q953" s="1"/>
      <c r="R953" s="1"/>
      <c r="S953" s="24"/>
      <c r="T953" s="1"/>
      <c r="U953" s="1"/>
      <c r="V953" s="24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24"/>
      <c r="G954" s="1"/>
      <c r="H954" s="1"/>
      <c r="I954" s="1"/>
      <c r="J954" s="25"/>
      <c r="K954" s="1"/>
      <c r="L954" s="1"/>
      <c r="M954" s="1"/>
      <c r="N954" s="25"/>
      <c r="O954" s="25"/>
      <c r="P954" s="24"/>
      <c r="Q954" s="1"/>
      <c r="R954" s="1"/>
      <c r="S954" s="24"/>
      <c r="T954" s="1"/>
      <c r="U954" s="1"/>
      <c r="V954" s="24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24"/>
      <c r="G955" s="1"/>
      <c r="H955" s="1"/>
      <c r="I955" s="1"/>
      <c r="J955" s="25"/>
      <c r="K955" s="1"/>
      <c r="L955" s="1"/>
      <c r="M955" s="1"/>
      <c r="N955" s="25"/>
      <c r="O955" s="25"/>
      <c r="P955" s="24"/>
      <c r="Q955" s="1"/>
      <c r="R955" s="1"/>
      <c r="S955" s="24"/>
      <c r="T955" s="1"/>
      <c r="U955" s="1"/>
      <c r="V955" s="24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24"/>
      <c r="G956" s="1"/>
      <c r="H956" s="1"/>
      <c r="I956" s="1"/>
      <c r="J956" s="25"/>
      <c r="K956" s="1"/>
      <c r="L956" s="1"/>
      <c r="M956" s="1"/>
      <c r="N956" s="25"/>
      <c r="O956" s="25"/>
      <c r="P956" s="24"/>
      <c r="Q956" s="1"/>
      <c r="R956" s="1"/>
      <c r="S956" s="24"/>
      <c r="T956" s="1"/>
      <c r="U956" s="1"/>
      <c r="V956" s="24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24"/>
      <c r="G957" s="1"/>
      <c r="H957" s="1"/>
      <c r="I957" s="1"/>
      <c r="J957" s="25"/>
      <c r="K957" s="1"/>
      <c r="L957" s="1"/>
      <c r="M957" s="1"/>
      <c r="N957" s="25"/>
      <c r="O957" s="25"/>
      <c r="P957" s="24"/>
      <c r="Q957" s="1"/>
      <c r="R957" s="1"/>
      <c r="S957" s="24"/>
      <c r="T957" s="1"/>
      <c r="U957" s="1"/>
      <c r="V957" s="24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24"/>
      <c r="G958" s="1"/>
      <c r="H958" s="1"/>
      <c r="I958" s="1"/>
      <c r="J958" s="25"/>
      <c r="K958" s="1"/>
      <c r="L958" s="1"/>
      <c r="M958" s="1"/>
      <c r="N958" s="25"/>
      <c r="O958" s="25"/>
      <c r="P958" s="24"/>
      <c r="Q958" s="1"/>
      <c r="R958" s="1"/>
      <c r="S958" s="24"/>
      <c r="T958" s="1"/>
      <c r="U958" s="1"/>
      <c r="V958" s="24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24"/>
      <c r="G959" s="1"/>
      <c r="H959" s="1"/>
      <c r="I959" s="1"/>
      <c r="J959" s="25"/>
      <c r="K959" s="1"/>
      <c r="L959" s="1"/>
      <c r="M959" s="1"/>
      <c r="N959" s="25"/>
      <c r="O959" s="25"/>
      <c r="P959" s="24"/>
      <c r="Q959" s="1"/>
      <c r="R959" s="1"/>
      <c r="S959" s="24"/>
      <c r="T959" s="1"/>
      <c r="U959" s="1"/>
      <c r="V959" s="24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24"/>
      <c r="G960" s="1"/>
      <c r="H960" s="1"/>
      <c r="I960" s="1"/>
      <c r="J960" s="25"/>
      <c r="K960" s="1"/>
      <c r="L960" s="1"/>
      <c r="M960" s="1"/>
      <c r="N960" s="25"/>
      <c r="O960" s="25"/>
      <c r="P960" s="24"/>
      <c r="Q960" s="1"/>
      <c r="R960" s="1"/>
      <c r="S960" s="24"/>
      <c r="T960" s="1"/>
      <c r="U960" s="1"/>
      <c r="V960" s="24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24"/>
      <c r="G961" s="1"/>
      <c r="H961" s="1"/>
      <c r="I961" s="1"/>
      <c r="J961" s="25"/>
      <c r="K961" s="1"/>
      <c r="L961" s="1"/>
      <c r="M961" s="1"/>
      <c r="N961" s="25"/>
      <c r="O961" s="25"/>
      <c r="P961" s="24"/>
      <c r="Q961" s="1"/>
      <c r="R961" s="1"/>
      <c r="S961" s="24"/>
      <c r="T961" s="1"/>
      <c r="U961" s="1"/>
      <c r="V961" s="24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24"/>
      <c r="G962" s="1"/>
      <c r="H962" s="1"/>
      <c r="I962" s="1"/>
      <c r="J962" s="25"/>
      <c r="K962" s="1"/>
      <c r="L962" s="1"/>
      <c r="M962" s="1"/>
      <c r="N962" s="25"/>
      <c r="O962" s="25"/>
      <c r="P962" s="24"/>
      <c r="Q962" s="1"/>
      <c r="R962" s="1"/>
      <c r="S962" s="24"/>
      <c r="T962" s="1"/>
      <c r="U962" s="1"/>
      <c r="V962" s="24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24"/>
      <c r="G963" s="1"/>
      <c r="H963" s="1"/>
      <c r="I963" s="1"/>
      <c r="J963" s="25"/>
      <c r="K963" s="1"/>
      <c r="L963" s="1"/>
      <c r="M963" s="1"/>
      <c r="N963" s="25"/>
      <c r="O963" s="25"/>
      <c r="P963" s="24"/>
      <c r="Q963" s="1"/>
      <c r="R963" s="1"/>
      <c r="S963" s="24"/>
      <c r="T963" s="1"/>
      <c r="U963" s="1"/>
      <c r="V963" s="24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24"/>
      <c r="G964" s="1"/>
      <c r="H964" s="1"/>
      <c r="I964" s="1"/>
      <c r="J964" s="25"/>
      <c r="K964" s="1"/>
      <c r="L964" s="1"/>
      <c r="M964" s="1"/>
      <c r="N964" s="25"/>
      <c r="O964" s="25"/>
      <c r="P964" s="24"/>
      <c r="Q964" s="1"/>
      <c r="R964" s="1"/>
      <c r="S964" s="24"/>
      <c r="T964" s="1"/>
      <c r="U964" s="1"/>
      <c r="V964" s="24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24"/>
      <c r="G965" s="1"/>
      <c r="H965" s="1"/>
      <c r="I965" s="1"/>
      <c r="J965" s="25"/>
      <c r="K965" s="1"/>
      <c r="L965" s="1"/>
      <c r="M965" s="1"/>
      <c r="N965" s="25"/>
      <c r="O965" s="25"/>
      <c r="P965" s="24"/>
      <c r="Q965" s="1"/>
      <c r="R965" s="1"/>
      <c r="S965" s="24"/>
      <c r="T965" s="1"/>
      <c r="U965" s="1"/>
      <c r="V965" s="24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24"/>
      <c r="G966" s="1"/>
      <c r="H966" s="1"/>
      <c r="I966" s="1"/>
      <c r="J966" s="25"/>
      <c r="K966" s="1"/>
      <c r="L966" s="1"/>
      <c r="M966" s="1"/>
      <c r="N966" s="25"/>
      <c r="O966" s="25"/>
      <c r="P966" s="24"/>
      <c r="Q966" s="1"/>
      <c r="R966" s="1"/>
      <c r="S966" s="24"/>
      <c r="T966" s="1"/>
      <c r="U966" s="1"/>
      <c r="V966" s="24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24"/>
      <c r="G967" s="1"/>
      <c r="H967" s="1"/>
      <c r="I967" s="1"/>
      <c r="J967" s="25"/>
      <c r="K967" s="1"/>
      <c r="L967" s="1"/>
      <c r="M967" s="1"/>
      <c r="N967" s="25"/>
      <c r="O967" s="25"/>
      <c r="P967" s="24"/>
      <c r="Q967" s="1"/>
      <c r="R967" s="1"/>
      <c r="S967" s="24"/>
      <c r="T967" s="1"/>
      <c r="U967" s="1"/>
      <c r="V967" s="24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24"/>
      <c r="G968" s="1"/>
      <c r="H968" s="1"/>
      <c r="I968" s="1"/>
      <c r="J968" s="25"/>
      <c r="K968" s="1"/>
      <c r="L968" s="1"/>
      <c r="M968" s="1"/>
      <c r="N968" s="25"/>
      <c r="O968" s="25"/>
      <c r="P968" s="24"/>
      <c r="Q968" s="1"/>
      <c r="R968" s="1"/>
      <c r="S968" s="24"/>
      <c r="T968" s="1"/>
      <c r="U968" s="1"/>
      <c r="V968" s="24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24"/>
      <c r="G969" s="1"/>
      <c r="H969" s="1"/>
      <c r="I969" s="1"/>
      <c r="J969" s="25"/>
      <c r="K969" s="1"/>
      <c r="L969" s="1"/>
      <c r="M969" s="1"/>
      <c r="N969" s="25"/>
      <c r="O969" s="25"/>
      <c r="P969" s="24"/>
      <c r="Q969" s="1"/>
      <c r="R969" s="1"/>
      <c r="S969" s="24"/>
      <c r="T969" s="1"/>
      <c r="U969" s="1"/>
      <c r="V969" s="24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24"/>
      <c r="G970" s="1"/>
      <c r="H970" s="1"/>
      <c r="I970" s="1"/>
      <c r="J970" s="25"/>
      <c r="K970" s="1"/>
      <c r="L970" s="1"/>
      <c r="M970" s="1"/>
      <c r="N970" s="25"/>
      <c r="O970" s="25"/>
      <c r="P970" s="24"/>
      <c r="Q970" s="1"/>
      <c r="R970" s="1"/>
      <c r="S970" s="24"/>
      <c r="T970" s="1"/>
      <c r="U970" s="1"/>
      <c r="V970" s="24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24"/>
      <c r="G971" s="1"/>
      <c r="H971" s="1"/>
      <c r="I971" s="1"/>
      <c r="J971" s="25"/>
      <c r="K971" s="1"/>
      <c r="L971" s="1"/>
      <c r="M971" s="1"/>
      <c r="N971" s="25"/>
      <c r="O971" s="25"/>
      <c r="P971" s="24"/>
      <c r="Q971" s="1"/>
      <c r="R971" s="1"/>
      <c r="S971" s="24"/>
      <c r="T971" s="1"/>
      <c r="U971" s="1"/>
      <c r="V971" s="24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24"/>
      <c r="G972" s="1"/>
      <c r="H972" s="1"/>
      <c r="I972" s="1"/>
      <c r="J972" s="25"/>
      <c r="K972" s="1"/>
      <c r="L972" s="1"/>
      <c r="M972" s="1"/>
      <c r="N972" s="25"/>
      <c r="O972" s="25"/>
      <c r="P972" s="24"/>
      <c r="Q972" s="1"/>
      <c r="R972" s="1"/>
      <c r="S972" s="24"/>
      <c r="T972" s="1"/>
      <c r="U972" s="1"/>
      <c r="V972" s="24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24"/>
      <c r="G973" s="1"/>
      <c r="H973" s="1"/>
      <c r="I973" s="1"/>
      <c r="J973" s="25"/>
      <c r="K973" s="1"/>
      <c r="L973" s="1"/>
      <c r="M973" s="1"/>
      <c r="N973" s="25"/>
      <c r="O973" s="25"/>
      <c r="P973" s="24"/>
      <c r="Q973" s="1"/>
      <c r="R973" s="1"/>
      <c r="S973" s="24"/>
      <c r="T973" s="1"/>
      <c r="U973" s="1"/>
      <c r="V973" s="24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24"/>
      <c r="G974" s="1"/>
      <c r="H974" s="1"/>
      <c r="I974" s="1"/>
      <c r="J974" s="25"/>
      <c r="K974" s="1"/>
      <c r="L974" s="1"/>
      <c r="M974" s="1"/>
      <c r="N974" s="25"/>
      <c r="O974" s="25"/>
      <c r="P974" s="24"/>
      <c r="Q974" s="1"/>
      <c r="R974" s="1"/>
      <c r="S974" s="24"/>
      <c r="T974" s="1"/>
      <c r="U974" s="1"/>
      <c r="V974" s="24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24"/>
      <c r="G975" s="1"/>
      <c r="H975" s="1"/>
      <c r="I975" s="1"/>
      <c r="J975" s="25"/>
      <c r="K975" s="1"/>
      <c r="L975" s="1"/>
      <c r="M975" s="1"/>
      <c r="N975" s="25"/>
      <c r="O975" s="25"/>
      <c r="P975" s="24"/>
      <c r="Q975" s="1"/>
      <c r="R975" s="1"/>
      <c r="S975" s="24"/>
      <c r="T975" s="1"/>
      <c r="U975" s="1"/>
      <c r="V975" s="24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24"/>
      <c r="G976" s="1"/>
      <c r="H976" s="1"/>
      <c r="I976" s="1"/>
      <c r="J976" s="25"/>
      <c r="K976" s="1"/>
      <c r="L976" s="1"/>
      <c r="M976" s="1"/>
      <c r="N976" s="25"/>
      <c r="O976" s="25"/>
      <c r="P976" s="24"/>
      <c r="Q976" s="1"/>
      <c r="R976" s="1"/>
      <c r="S976" s="24"/>
      <c r="T976" s="1"/>
      <c r="U976" s="1"/>
      <c r="V976" s="24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24"/>
      <c r="G977" s="1"/>
      <c r="H977" s="1"/>
      <c r="I977" s="1"/>
      <c r="J977" s="25"/>
      <c r="K977" s="1"/>
      <c r="L977" s="1"/>
      <c r="M977" s="1"/>
      <c r="N977" s="25"/>
      <c r="O977" s="25"/>
      <c r="P977" s="24"/>
      <c r="Q977" s="1"/>
      <c r="R977" s="1"/>
      <c r="S977" s="24"/>
      <c r="T977" s="1"/>
      <c r="U977" s="1"/>
      <c r="V977" s="24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24"/>
      <c r="G978" s="1"/>
      <c r="H978" s="1"/>
      <c r="I978" s="1"/>
      <c r="J978" s="25"/>
      <c r="K978" s="1"/>
      <c r="L978" s="1"/>
      <c r="M978" s="1"/>
      <c r="N978" s="25"/>
      <c r="O978" s="25"/>
      <c r="P978" s="24"/>
      <c r="Q978" s="1"/>
      <c r="R978" s="1"/>
      <c r="S978" s="24"/>
      <c r="T978" s="1"/>
      <c r="U978" s="1"/>
      <c r="V978" s="24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24"/>
      <c r="G979" s="1"/>
      <c r="H979" s="1"/>
      <c r="I979" s="1"/>
      <c r="J979" s="25"/>
      <c r="K979" s="1"/>
      <c r="L979" s="1"/>
      <c r="M979" s="1"/>
      <c r="N979" s="25"/>
      <c r="O979" s="25"/>
      <c r="P979" s="24"/>
      <c r="Q979" s="1"/>
      <c r="R979" s="1"/>
      <c r="S979" s="24"/>
      <c r="T979" s="1"/>
      <c r="U979" s="1"/>
      <c r="V979" s="24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24"/>
      <c r="G980" s="1"/>
      <c r="H980" s="1"/>
      <c r="I980" s="1"/>
      <c r="J980" s="25"/>
      <c r="K980" s="1"/>
      <c r="L980" s="1"/>
      <c r="M980" s="1"/>
      <c r="N980" s="25"/>
      <c r="O980" s="25"/>
      <c r="P980" s="24"/>
      <c r="Q980" s="1"/>
      <c r="R980" s="1"/>
      <c r="S980" s="24"/>
      <c r="T980" s="1"/>
      <c r="U980" s="1"/>
      <c r="V980" s="24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24"/>
      <c r="G981" s="1"/>
      <c r="H981" s="1"/>
      <c r="I981" s="1"/>
      <c r="J981" s="25"/>
      <c r="K981" s="1"/>
      <c r="L981" s="1"/>
      <c r="M981" s="1"/>
      <c r="N981" s="25"/>
      <c r="O981" s="25"/>
      <c r="P981" s="24"/>
      <c r="Q981" s="1"/>
      <c r="R981" s="1"/>
      <c r="S981" s="24"/>
      <c r="T981" s="1"/>
      <c r="U981" s="1"/>
      <c r="V981" s="24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24"/>
      <c r="G982" s="1"/>
      <c r="H982" s="1"/>
      <c r="I982" s="1"/>
      <c r="J982" s="25"/>
      <c r="K982" s="1"/>
      <c r="L982" s="1"/>
      <c r="M982" s="1"/>
      <c r="N982" s="25"/>
      <c r="O982" s="25"/>
      <c r="P982" s="24"/>
      <c r="Q982" s="1"/>
      <c r="R982" s="1"/>
      <c r="S982" s="24"/>
      <c r="T982" s="1"/>
      <c r="U982" s="1"/>
      <c r="V982" s="24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24"/>
      <c r="G983" s="1"/>
      <c r="H983" s="1"/>
      <c r="I983" s="1"/>
      <c r="J983" s="25"/>
      <c r="K983" s="1"/>
      <c r="L983" s="1"/>
      <c r="M983" s="1"/>
      <c r="N983" s="25"/>
      <c r="O983" s="25"/>
      <c r="P983" s="24"/>
      <c r="Q983" s="1"/>
      <c r="R983" s="1"/>
      <c r="S983" s="24"/>
      <c r="T983" s="1"/>
      <c r="U983" s="1"/>
      <c r="V983" s="24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24"/>
      <c r="G984" s="1"/>
      <c r="H984" s="1"/>
      <c r="I984" s="1"/>
      <c r="J984" s="25"/>
      <c r="K984" s="1"/>
      <c r="L984" s="1"/>
      <c r="M984" s="1"/>
      <c r="N984" s="25"/>
      <c r="O984" s="25"/>
      <c r="P984" s="24"/>
      <c r="Q984" s="1"/>
      <c r="R984" s="1"/>
      <c r="S984" s="24"/>
      <c r="T984" s="1"/>
      <c r="U984" s="1"/>
      <c r="V984" s="24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24"/>
      <c r="G985" s="1"/>
      <c r="H985" s="1"/>
      <c r="I985" s="1"/>
      <c r="J985" s="25"/>
      <c r="K985" s="1"/>
      <c r="L985" s="1"/>
      <c r="M985" s="1"/>
      <c r="N985" s="25"/>
      <c r="O985" s="25"/>
      <c r="P985" s="24"/>
      <c r="Q985" s="1"/>
      <c r="R985" s="1"/>
      <c r="S985" s="24"/>
      <c r="T985" s="1"/>
      <c r="U985" s="1"/>
      <c r="V985" s="24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24"/>
      <c r="G986" s="1"/>
      <c r="H986" s="1"/>
      <c r="I986" s="1"/>
      <c r="J986" s="25"/>
      <c r="K986" s="1"/>
      <c r="L986" s="1"/>
      <c r="M986" s="1"/>
      <c r="N986" s="25"/>
      <c r="O986" s="25"/>
      <c r="P986" s="24"/>
      <c r="Q986" s="1"/>
      <c r="R986" s="1"/>
      <c r="S986" s="24"/>
      <c r="T986" s="1"/>
      <c r="U986" s="1"/>
      <c r="V986" s="24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24"/>
      <c r="G987" s="1"/>
      <c r="H987" s="1"/>
      <c r="I987" s="1"/>
      <c r="J987" s="25"/>
      <c r="K987" s="1"/>
      <c r="L987" s="1"/>
      <c r="M987" s="1"/>
      <c r="N987" s="25"/>
      <c r="O987" s="25"/>
      <c r="P987" s="24"/>
      <c r="Q987" s="1"/>
      <c r="R987" s="1"/>
      <c r="S987" s="24"/>
      <c r="T987" s="1"/>
      <c r="U987" s="1"/>
      <c r="V987" s="24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24"/>
      <c r="G988" s="1"/>
      <c r="H988" s="1"/>
      <c r="I988" s="1"/>
      <c r="J988" s="25"/>
      <c r="K988" s="1"/>
      <c r="L988" s="1"/>
      <c r="M988" s="1"/>
      <c r="N988" s="25"/>
      <c r="O988" s="25"/>
      <c r="P988" s="24"/>
      <c r="Q988" s="1"/>
      <c r="R988" s="1"/>
      <c r="S988" s="24"/>
      <c r="T988" s="1"/>
      <c r="U988" s="1"/>
      <c r="V988" s="24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24"/>
      <c r="G989" s="1"/>
      <c r="H989" s="1"/>
      <c r="I989" s="1"/>
      <c r="J989" s="25"/>
      <c r="K989" s="1"/>
      <c r="L989" s="1"/>
      <c r="M989" s="1"/>
      <c r="N989" s="25"/>
      <c r="O989" s="25"/>
      <c r="P989" s="24"/>
      <c r="Q989" s="1"/>
      <c r="R989" s="1"/>
      <c r="S989" s="24"/>
      <c r="T989" s="1"/>
      <c r="U989" s="1"/>
      <c r="V989" s="24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24"/>
      <c r="G990" s="1"/>
      <c r="H990" s="1"/>
      <c r="I990" s="1"/>
      <c r="J990" s="25"/>
      <c r="K990" s="1"/>
      <c r="L990" s="1"/>
      <c r="M990" s="1"/>
      <c r="N990" s="25"/>
      <c r="O990" s="25"/>
      <c r="P990" s="24"/>
      <c r="Q990" s="1"/>
      <c r="R990" s="1"/>
      <c r="S990" s="24"/>
      <c r="T990" s="1"/>
      <c r="U990" s="1"/>
      <c r="V990" s="24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24"/>
      <c r="G991" s="1"/>
      <c r="H991" s="1"/>
      <c r="I991" s="1"/>
      <c r="J991" s="25"/>
      <c r="K991" s="1"/>
      <c r="L991" s="1"/>
      <c r="M991" s="1"/>
      <c r="N991" s="25"/>
      <c r="O991" s="25"/>
      <c r="P991" s="24"/>
      <c r="Q991" s="1"/>
      <c r="R991" s="1"/>
      <c r="S991" s="24"/>
      <c r="T991" s="1"/>
      <c r="U991" s="1"/>
      <c r="V991" s="24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24"/>
      <c r="G992" s="1"/>
      <c r="H992" s="1"/>
      <c r="I992" s="1"/>
      <c r="J992" s="25"/>
      <c r="K992" s="1"/>
      <c r="L992" s="1"/>
      <c r="M992" s="1"/>
      <c r="N992" s="25"/>
      <c r="O992" s="25"/>
      <c r="P992" s="24"/>
      <c r="Q992" s="1"/>
      <c r="R992" s="1"/>
      <c r="S992" s="24"/>
      <c r="T992" s="1"/>
      <c r="U992" s="1"/>
      <c r="V992" s="24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24"/>
      <c r="G993" s="1"/>
      <c r="H993" s="1"/>
      <c r="I993" s="1"/>
      <c r="J993" s="25"/>
      <c r="K993" s="1"/>
      <c r="L993" s="1"/>
      <c r="M993" s="1"/>
      <c r="N993" s="25"/>
      <c r="O993" s="25"/>
      <c r="P993" s="24"/>
      <c r="Q993" s="1"/>
      <c r="R993" s="1"/>
      <c r="S993" s="24"/>
      <c r="T993" s="1"/>
      <c r="U993" s="1"/>
      <c r="V993" s="24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24"/>
      <c r="G994" s="1"/>
      <c r="H994" s="1"/>
      <c r="I994" s="1"/>
      <c r="J994" s="25"/>
      <c r="K994" s="1"/>
      <c r="L994" s="1"/>
      <c r="M994" s="1"/>
      <c r="N994" s="25"/>
      <c r="O994" s="25"/>
      <c r="P994" s="24"/>
      <c r="Q994" s="1"/>
      <c r="R994" s="1"/>
      <c r="S994" s="24"/>
      <c r="T994" s="1"/>
      <c r="U994" s="1"/>
      <c r="V994" s="24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24"/>
      <c r="G995" s="1"/>
      <c r="H995" s="1"/>
      <c r="I995" s="1"/>
      <c r="J995" s="25"/>
      <c r="K995" s="1"/>
      <c r="L995" s="1"/>
      <c r="M995" s="1"/>
      <c r="N995" s="25"/>
      <c r="O995" s="25"/>
      <c r="P995" s="24"/>
      <c r="Q995" s="1"/>
      <c r="R995" s="1"/>
      <c r="S995" s="24"/>
      <c r="T995" s="1"/>
      <c r="U995" s="1"/>
      <c r="V995" s="24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24"/>
      <c r="G996" s="1"/>
      <c r="H996" s="1"/>
      <c r="I996" s="1"/>
      <c r="J996" s="25"/>
      <c r="K996" s="1"/>
      <c r="L996" s="1"/>
      <c r="M996" s="1"/>
      <c r="N996" s="25"/>
      <c r="O996" s="25"/>
      <c r="P996" s="24"/>
      <c r="Q996" s="1"/>
      <c r="R996" s="1"/>
      <c r="S996" s="24"/>
      <c r="T996" s="1"/>
      <c r="U996" s="1"/>
      <c r="V996" s="24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24"/>
      <c r="G997" s="1"/>
      <c r="H997" s="1"/>
      <c r="I997" s="1"/>
      <c r="J997" s="25"/>
      <c r="K997" s="1"/>
      <c r="L997" s="1"/>
      <c r="M997" s="1"/>
      <c r="N997" s="25"/>
      <c r="O997" s="25"/>
      <c r="P997" s="24"/>
      <c r="Q997" s="1"/>
      <c r="R997" s="1"/>
      <c r="S997" s="24"/>
      <c r="T997" s="1"/>
      <c r="U997" s="1"/>
      <c r="V997" s="24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24"/>
      <c r="G998" s="1"/>
      <c r="H998" s="1"/>
      <c r="I998" s="1"/>
      <c r="J998" s="25"/>
      <c r="K998" s="1"/>
      <c r="L998" s="1"/>
      <c r="M998" s="1"/>
      <c r="N998" s="25"/>
      <c r="O998" s="25"/>
      <c r="P998" s="24"/>
      <c r="Q998" s="1"/>
      <c r="R998" s="1"/>
      <c r="S998" s="24"/>
      <c r="T998" s="1"/>
      <c r="U998" s="1"/>
      <c r="V998" s="24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24"/>
      <c r="G999" s="1"/>
      <c r="H999" s="1"/>
      <c r="I999" s="1"/>
      <c r="J999" s="25"/>
      <c r="K999" s="1"/>
      <c r="L999" s="1"/>
      <c r="M999" s="1"/>
      <c r="N999" s="25"/>
      <c r="O999" s="25"/>
      <c r="P999" s="24"/>
      <c r="Q999" s="1"/>
      <c r="R999" s="1"/>
      <c r="S999" s="24"/>
      <c r="T999" s="1"/>
      <c r="U999" s="1"/>
      <c r="V999" s="24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24"/>
      <c r="G1000" s="1"/>
      <c r="H1000" s="1"/>
      <c r="I1000" s="1"/>
      <c r="J1000" s="25"/>
      <c r="K1000" s="1"/>
      <c r="L1000" s="1"/>
      <c r="M1000" s="1"/>
      <c r="N1000" s="25"/>
      <c r="O1000" s="25"/>
      <c r="P1000" s="24"/>
      <c r="Q1000" s="1"/>
      <c r="R1000" s="1"/>
      <c r="S1000" s="24"/>
      <c r="T1000" s="1"/>
      <c r="U1000" s="1"/>
      <c r="V1000" s="24"/>
      <c r="W1000" s="1"/>
      <c r="X1000" s="1"/>
      <c r="Y1000" s="1"/>
      <c r="Z1000" s="1"/>
    </row>
  </sheetData>
  <mergeCells count="15">
    <mergeCell ref="T2:T3"/>
    <mergeCell ref="U2:U3"/>
    <mergeCell ref="V2:V3"/>
    <mergeCell ref="B2:B3"/>
    <mergeCell ref="C2:C3"/>
    <mergeCell ref="D2:D3"/>
    <mergeCell ref="E2:E3"/>
    <mergeCell ref="F2:F3"/>
    <mergeCell ref="J2:J3"/>
    <mergeCell ref="N2:N3"/>
    <mergeCell ref="O2:O3"/>
    <mergeCell ref="P2:P3"/>
    <mergeCell ref="Q2:Q3"/>
    <mergeCell ref="R2:R3"/>
    <mergeCell ref="S2:S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1.21875" defaultRowHeight="15" customHeight="1"/>
  <cols>
    <col min="1" max="26" width="8.5546875" customWidth="1"/>
  </cols>
  <sheetData>
    <row r="1" spans="1:1" ht="15.75" customHeight="1">
      <c r="A1" s="53" t="s">
        <v>188</v>
      </c>
    </row>
    <row r="2" spans="1:1" ht="15.75" customHeight="1">
      <c r="A2" s="53" t="s">
        <v>189</v>
      </c>
    </row>
    <row r="3" spans="1:1" ht="15.75" customHeight="1">
      <c r="A3" s="53" t="s">
        <v>190</v>
      </c>
    </row>
    <row r="4" spans="1:1" ht="15.75" customHeight="1"/>
    <row r="5" spans="1:1" ht="15.75" customHeight="1">
      <c r="A5" s="53" t="s">
        <v>191</v>
      </c>
    </row>
    <row r="6" spans="1:1" ht="15.75" customHeight="1">
      <c r="A6" s="53" t="s">
        <v>192</v>
      </c>
    </row>
    <row r="7" spans="1:1" ht="15.75" customHeight="1">
      <c r="A7" s="53" t="s">
        <v>193</v>
      </c>
    </row>
    <row r="8" spans="1:1" ht="15.75" customHeight="1"/>
    <row r="9" spans="1:1" ht="15.75" customHeight="1">
      <c r="A9" s="53" t="s">
        <v>194</v>
      </c>
    </row>
    <row r="10" spans="1:1" ht="15.75" customHeight="1"/>
    <row r="11" spans="1:1" ht="15.75" customHeight="1">
      <c r="A11" s="53" t="s">
        <v>195</v>
      </c>
    </row>
    <row r="12" spans="1:1" ht="15.75" customHeight="1">
      <c r="A12" s="53" t="s">
        <v>196</v>
      </c>
    </row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21875" defaultRowHeight="15" customHeight="1"/>
  <cols>
    <col min="1" max="1" width="4.33203125" customWidth="1"/>
    <col min="2" max="2" width="31.6640625" customWidth="1"/>
    <col min="3" max="3" width="11.44140625" customWidth="1"/>
    <col min="4" max="4" width="14.33203125" customWidth="1"/>
    <col min="5" max="5" width="12.88671875" customWidth="1"/>
    <col min="6" max="6" width="13.44140625" customWidth="1"/>
    <col min="7" max="10" width="10.88671875" customWidth="1"/>
    <col min="11" max="11" width="19.33203125" customWidth="1"/>
    <col min="12" max="12" width="21.44140625" customWidth="1"/>
    <col min="13" max="13" width="10.88671875" customWidth="1"/>
    <col min="14" max="14" width="11.33203125" customWidth="1"/>
    <col min="15" max="15" width="13.109375" customWidth="1"/>
    <col min="16" max="16" width="14.33203125" customWidth="1"/>
    <col min="17" max="26" width="10.886718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56" t="s">
        <v>197</v>
      </c>
      <c r="C2" s="56" t="s">
        <v>1</v>
      </c>
      <c r="D2" s="56" t="s">
        <v>2</v>
      </c>
      <c r="E2" s="56" t="s">
        <v>3</v>
      </c>
      <c r="F2" s="56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54" t="s">
        <v>9</v>
      </c>
      <c r="L2" s="54" t="s">
        <v>10</v>
      </c>
      <c r="M2" s="54" t="s">
        <v>11</v>
      </c>
      <c r="N2" s="54" t="s">
        <v>12</v>
      </c>
      <c r="O2" s="54" t="s">
        <v>13</v>
      </c>
      <c r="P2" s="54" t="s">
        <v>14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2" t="s">
        <v>15</v>
      </c>
      <c r="C4" s="3"/>
      <c r="D4" s="3"/>
      <c r="E4" s="3"/>
      <c r="F4" s="3" t="e">
        <f>(C4-D4)/E4</f>
        <v>#DIV/0!</v>
      </c>
      <c r="G4" s="3"/>
      <c r="H4" s="3"/>
      <c r="I4" s="3"/>
      <c r="J4" s="3">
        <f>G4+H4-I4</f>
        <v>0</v>
      </c>
      <c r="K4" s="3"/>
      <c r="L4" s="3"/>
      <c r="M4" s="3">
        <f>K4-L4</f>
        <v>0</v>
      </c>
      <c r="N4" s="3"/>
      <c r="O4" s="3"/>
      <c r="P4" s="4" t="e">
        <f>N4/O4</f>
        <v>#DIV/0!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5" t="s">
        <v>16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8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8" t="s">
        <v>18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8" t="s">
        <v>19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8" t="s">
        <v>20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8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9" t="s">
        <v>22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8" t="s">
        <v>23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8" t="s">
        <v>24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8" t="s">
        <v>25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8" t="s">
        <v>26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8" t="s">
        <v>27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8" t="s">
        <v>28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9" t="s">
        <v>29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8" t="s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8" t="s">
        <v>31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8" t="s">
        <v>32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8" t="s">
        <v>33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8" t="s">
        <v>34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8" t="s">
        <v>35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8" t="s">
        <v>36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8" t="s">
        <v>37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8" t="s">
        <v>38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8" t="s">
        <v>39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8" t="s">
        <v>40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8" t="s">
        <v>41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8" t="s">
        <v>42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8" t="s">
        <v>43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8" t="s">
        <v>44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8" t="s">
        <v>45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9" t="s">
        <v>46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8" t="s">
        <v>47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0" t="s">
        <v>48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8" t="s">
        <v>49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8" t="s">
        <v>50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8" t="s">
        <v>51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8" t="s">
        <v>52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0" t="s">
        <v>53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8" t="s">
        <v>54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1" t="s">
        <v>55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2" t="s">
        <v>56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8" t="s">
        <v>57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8" t="s">
        <v>58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8" t="s">
        <v>59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8" t="s">
        <v>60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8" t="s">
        <v>61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8" t="s">
        <v>62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8" t="s">
        <v>63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8" t="s">
        <v>64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8" t="s">
        <v>65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8" t="s">
        <v>66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9" t="s">
        <v>67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8" t="s">
        <v>68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8" t="s">
        <v>69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8" t="s">
        <v>70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8" t="s">
        <v>71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9" t="s">
        <v>72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8" t="s">
        <v>73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1" t="s">
        <v>74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3" t="s">
        <v>75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8" t="s">
        <v>76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8" t="s">
        <v>77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8" t="s">
        <v>78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8" t="s">
        <v>79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8" t="s">
        <v>80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8" t="s">
        <v>81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8" t="s">
        <v>82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8" t="s">
        <v>83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8" t="s">
        <v>84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6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0" t="s">
        <v>85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2" t="s">
        <v>86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0" t="s">
        <v>87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2" t="s">
        <v>88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8" t="s">
        <v>89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8" t="s">
        <v>90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8" t="s">
        <v>91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8" t="s">
        <v>92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8" t="s">
        <v>93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8" t="s">
        <v>94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8" t="s">
        <v>95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8" t="s">
        <v>96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8" t="s">
        <v>97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8" t="s">
        <v>98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8" t="s">
        <v>99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9" t="s">
        <v>100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8" t="s">
        <v>101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8" t="s">
        <v>102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8" t="s">
        <v>103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8" t="s">
        <v>104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8" t="s">
        <v>105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8" t="s">
        <v>106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8" t="s">
        <v>107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8" t="s">
        <v>108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8" t="s">
        <v>109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8" t="s">
        <v>110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8" t="s">
        <v>111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8" t="s">
        <v>112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8" t="s">
        <v>113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8" t="s">
        <v>114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8" t="s">
        <v>115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8" t="s">
        <v>116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9" t="s">
        <v>117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8" t="s">
        <v>118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8" t="s">
        <v>119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3" t="s">
        <v>120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8" t="s">
        <v>121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8" t="s">
        <v>122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8" t="s">
        <v>123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8" t="s">
        <v>124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8" t="s">
        <v>125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8" t="s">
        <v>126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3" t="s">
        <v>127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8" t="s">
        <v>128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6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7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0" t="s">
        <v>129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5" t="s">
        <v>130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8" t="s">
        <v>131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8" t="s">
        <v>132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8" t="s">
        <v>133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8" t="s">
        <v>134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8" t="s">
        <v>135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8" t="s">
        <v>136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8" t="s">
        <v>137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8" t="s">
        <v>138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8" t="s">
        <v>139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8" t="s">
        <v>140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8" t="s">
        <v>141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8" t="s">
        <v>142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8" t="s">
        <v>143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8" t="s">
        <v>144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2" t="s">
        <v>145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8" t="s">
        <v>146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8" t="s">
        <v>147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8" t="s">
        <v>148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8" t="s">
        <v>149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2" t="s">
        <v>150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8" t="s">
        <v>151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8" t="s">
        <v>152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8" t="s">
        <v>153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8" t="s">
        <v>154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8" t="s">
        <v>155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8" t="s">
        <v>156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8" t="s">
        <v>157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8" t="s">
        <v>158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8" t="s">
        <v>159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8" t="s">
        <v>160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8" t="s">
        <v>161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2" t="s">
        <v>162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8" t="s">
        <v>163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8" t="s">
        <v>164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8" t="s">
        <v>165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8" t="s">
        <v>166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9" t="s">
        <v>167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8" t="s">
        <v>168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8" t="s">
        <v>169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1" t="s">
        <v>170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3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N2:N3"/>
    <mergeCell ref="O2:O3"/>
    <mergeCell ref="P2:P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1000"/>
  <sheetViews>
    <sheetView workbookViewId="0"/>
  </sheetViews>
  <sheetFormatPr defaultColWidth="11.21875" defaultRowHeight="15" customHeight="1"/>
  <cols>
    <col min="1" max="1" width="4.33203125" customWidth="1"/>
    <col min="2" max="2" width="31.6640625" customWidth="1"/>
    <col min="3" max="3" width="11.44140625" customWidth="1"/>
    <col min="4" max="4" width="14.33203125" customWidth="1"/>
    <col min="5" max="5" width="12.88671875" customWidth="1"/>
    <col min="6" max="6" width="13.44140625" customWidth="1"/>
    <col min="7" max="10" width="10.88671875" customWidth="1"/>
    <col min="11" max="11" width="19.33203125" customWidth="1"/>
    <col min="12" max="12" width="21.44140625" customWidth="1"/>
    <col min="13" max="13" width="10.88671875" customWidth="1"/>
    <col min="14" max="14" width="11.33203125" customWidth="1"/>
    <col min="15" max="15" width="13.109375" customWidth="1"/>
    <col min="16" max="16" width="14.33203125" customWidth="1"/>
    <col min="17" max="26" width="10.886718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56" t="s">
        <v>198</v>
      </c>
      <c r="C2" s="56" t="s">
        <v>1</v>
      </c>
      <c r="D2" s="56" t="s">
        <v>2</v>
      </c>
      <c r="E2" s="56" t="s">
        <v>3</v>
      </c>
      <c r="F2" s="56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54" t="s">
        <v>9</v>
      </c>
      <c r="L2" s="54" t="s">
        <v>10</v>
      </c>
      <c r="M2" s="54" t="s">
        <v>11</v>
      </c>
      <c r="N2" s="54" t="s">
        <v>12</v>
      </c>
      <c r="O2" s="54" t="s">
        <v>13</v>
      </c>
      <c r="P2" s="54" t="s">
        <v>14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2" t="s">
        <v>15</v>
      </c>
      <c r="C4" s="3"/>
      <c r="D4" s="3"/>
      <c r="E4" s="3"/>
      <c r="F4" s="3" t="e">
        <f>(C4-D4)/E4</f>
        <v>#DIV/0!</v>
      </c>
      <c r="G4" s="3"/>
      <c r="H4" s="3"/>
      <c r="I4" s="3"/>
      <c r="J4" s="3">
        <f>G4+H4-I4</f>
        <v>0</v>
      </c>
      <c r="K4" s="3"/>
      <c r="L4" s="3"/>
      <c r="M4" s="3">
        <f>K4-L4</f>
        <v>0</v>
      </c>
      <c r="N4" s="3"/>
      <c r="O4" s="3"/>
      <c r="P4" s="4" t="e">
        <f>N4/O4</f>
        <v>#DIV/0!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5" t="s">
        <v>16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8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8" t="s">
        <v>18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8" t="s">
        <v>19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8" t="s">
        <v>20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8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9" t="s">
        <v>22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8" t="s">
        <v>23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8" t="s">
        <v>24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8" t="s">
        <v>25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8" t="s">
        <v>26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8" t="s">
        <v>27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8" t="s">
        <v>28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9" t="s">
        <v>29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8" t="s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8" t="s">
        <v>31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8" t="s">
        <v>32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8" t="s">
        <v>33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8" t="s">
        <v>34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8" t="s">
        <v>35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8" t="s">
        <v>36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8" t="s">
        <v>37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8" t="s">
        <v>38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8" t="s">
        <v>39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8" t="s">
        <v>40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8" t="s">
        <v>41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8" t="s">
        <v>42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8" t="s">
        <v>43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8" t="s">
        <v>44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8" t="s">
        <v>45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9" t="s">
        <v>46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8" t="s">
        <v>47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0" t="s">
        <v>48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8" t="s">
        <v>49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8" t="s">
        <v>50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8" t="s">
        <v>51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8" t="s">
        <v>52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0" t="s">
        <v>53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8" t="s">
        <v>54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1" t="s">
        <v>55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2" t="s">
        <v>56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8" t="s">
        <v>57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8" t="s">
        <v>58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8" t="s">
        <v>59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8" t="s">
        <v>60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8" t="s">
        <v>61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8" t="s">
        <v>62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8" t="s">
        <v>63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8" t="s">
        <v>64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8" t="s">
        <v>65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8" t="s">
        <v>66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9" t="s">
        <v>67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8" t="s">
        <v>68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8" t="s">
        <v>69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8" t="s">
        <v>70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8" t="s">
        <v>71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9" t="s">
        <v>72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8" t="s">
        <v>73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1" t="s">
        <v>74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3" t="s">
        <v>75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8" t="s">
        <v>76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8" t="s">
        <v>77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8" t="s">
        <v>78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8" t="s">
        <v>79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8" t="s">
        <v>80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8" t="s">
        <v>81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8" t="s">
        <v>82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8" t="s">
        <v>83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8" t="s">
        <v>84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6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0" t="s">
        <v>85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2" t="s">
        <v>86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0" t="s">
        <v>87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2" t="s">
        <v>88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8" t="s">
        <v>89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8" t="s">
        <v>90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8" t="s">
        <v>91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8" t="s">
        <v>92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8" t="s">
        <v>93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8" t="s">
        <v>94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8" t="s">
        <v>95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8" t="s">
        <v>96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8" t="s">
        <v>97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8" t="s">
        <v>98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8" t="s">
        <v>99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9" t="s">
        <v>100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8" t="s">
        <v>101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8" t="s">
        <v>102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8" t="s">
        <v>103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8" t="s">
        <v>104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8" t="s">
        <v>105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8" t="s">
        <v>106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8" t="s">
        <v>107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8" t="s">
        <v>108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8" t="s">
        <v>109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8" t="s">
        <v>110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8" t="s">
        <v>111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8" t="s">
        <v>112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8" t="s">
        <v>113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8" t="s">
        <v>114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8" t="s">
        <v>115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8" t="s">
        <v>116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9" t="s">
        <v>117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8" t="s">
        <v>118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8" t="s">
        <v>119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3" t="s">
        <v>120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8" t="s">
        <v>121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8" t="s">
        <v>122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8" t="s">
        <v>123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8" t="s">
        <v>124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8" t="s">
        <v>125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8" t="s">
        <v>126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3" t="s">
        <v>127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8" t="s">
        <v>128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6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7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0" t="s">
        <v>129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5" t="s">
        <v>130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8" t="s">
        <v>131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8" t="s">
        <v>132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8" t="s">
        <v>133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8" t="s">
        <v>134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8" t="s">
        <v>135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8" t="s">
        <v>136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8" t="s">
        <v>137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8" t="s">
        <v>138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8" t="s">
        <v>139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8" t="s">
        <v>140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8" t="s">
        <v>141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8" t="s">
        <v>142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8" t="s">
        <v>143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8" t="s">
        <v>144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2" t="s">
        <v>145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8" t="s">
        <v>146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8" t="s">
        <v>147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8" t="s">
        <v>148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8" t="s">
        <v>149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2" t="s">
        <v>150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8" t="s">
        <v>151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8" t="s">
        <v>152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8" t="s">
        <v>153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8" t="s">
        <v>154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8" t="s">
        <v>155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8" t="s">
        <v>156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8" t="s">
        <v>157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8" t="s">
        <v>158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8" t="s">
        <v>159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8" t="s">
        <v>160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8" t="s">
        <v>161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2" t="s">
        <v>162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8" t="s">
        <v>163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8" t="s">
        <v>164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8" t="s">
        <v>165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8" t="s">
        <v>166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9" t="s">
        <v>167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8" t="s">
        <v>168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8" t="s">
        <v>169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1" t="s">
        <v>170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3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N2:N3"/>
    <mergeCell ref="O2:O3"/>
    <mergeCell ref="P2:P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2014</vt:lpstr>
      <vt:lpstr>2015</vt:lpstr>
      <vt:lpstr>2016-JEIV</vt:lpstr>
      <vt:lpstr>2017-JEIV</vt:lpstr>
      <vt:lpstr>TO DO LIST</vt:lpstr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ismail - [2010]</cp:lastModifiedBy>
  <dcterms:created xsi:type="dcterms:W3CDTF">2020-05-21T15:39:45Z</dcterms:created>
  <dcterms:modified xsi:type="dcterms:W3CDTF">2020-07-09T15:46:59Z</dcterms:modified>
</cp:coreProperties>
</file>