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VP\Radio_Carbon_Dating\"/>
    </mc:Choice>
  </mc:AlternateContent>
  <bookViews>
    <workbookView xWindow="120" yWindow="135" windowWidth="9998" windowHeight="9998"/>
  </bookViews>
  <sheets>
    <sheet name="C171215AS1" sheetId="1" r:id="rId1"/>
  </sheets>
  <calcPr calcId="152511"/>
</workbook>
</file>

<file path=xl/calcChain.xml><?xml version="1.0" encoding="utf-8"?>
<calcChain xmlns="http://schemas.openxmlformats.org/spreadsheetml/2006/main">
  <c r="Y19" i="1" l="1"/>
  <c r="Y11" i="1"/>
  <c r="X19" i="1"/>
  <c r="X11" i="1"/>
  <c r="W19" i="1"/>
  <c r="W11" i="1"/>
  <c r="V19" i="1"/>
  <c r="V11" i="1"/>
  <c r="B45" i="1"/>
  <c r="B44" i="1"/>
  <c r="B39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6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B40" i="1"/>
  <c r="S11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6" i="1"/>
  <c r="F2" i="1"/>
  <c r="E10" i="1" s="1"/>
  <c r="B38" i="1" l="1"/>
  <c r="Q12" i="1" s="1"/>
  <c r="Q20" i="1"/>
  <c r="Q24" i="1"/>
  <c r="Q32" i="1"/>
  <c r="Q14" i="1"/>
  <c r="Q18" i="1"/>
  <c r="Q26" i="1"/>
  <c r="Q30" i="1"/>
  <c r="Q11" i="1"/>
  <c r="T11" i="1" s="1"/>
  <c r="Q23" i="1"/>
  <c r="Q31" i="1"/>
  <c r="Q13" i="1"/>
  <c r="Q17" i="1"/>
  <c r="Q21" i="1"/>
  <c r="Q25" i="1"/>
  <c r="Q29" i="1"/>
  <c r="Q33" i="1"/>
  <c r="Q15" i="1"/>
  <c r="Q19" i="1"/>
  <c r="Q27" i="1"/>
  <c r="E27" i="1"/>
  <c r="E30" i="1"/>
  <c r="E26" i="1"/>
  <c r="E18" i="1"/>
  <c r="E6" i="1"/>
  <c r="E33" i="1"/>
  <c r="E29" i="1"/>
  <c r="E25" i="1"/>
  <c r="E21" i="1"/>
  <c r="E17" i="1"/>
  <c r="E13" i="1"/>
  <c r="E9" i="1"/>
  <c r="E32" i="1"/>
  <c r="E28" i="1"/>
  <c r="E24" i="1"/>
  <c r="E20" i="1"/>
  <c r="E16" i="1"/>
  <c r="E12" i="1"/>
  <c r="E8" i="1"/>
  <c r="E31" i="1"/>
  <c r="E23" i="1"/>
  <c r="E19" i="1"/>
  <c r="E15" i="1"/>
  <c r="E11" i="1"/>
  <c r="E7" i="1"/>
  <c r="E22" i="1"/>
  <c r="E14" i="1"/>
  <c r="Q16" i="1" l="1"/>
  <c r="Q22" i="1"/>
  <c r="Q28" i="1"/>
  <c r="T29" i="1"/>
  <c r="T13" i="1"/>
  <c r="T28" i="1"/>
  <c r="T12" i="1"/>
  <c r="T18" i="1"/>
  <c r="T15" i="1"/>
  <c r="T27" i="1"/>
  <c r="T22" i="1"/>
  <c r="T21" i="1"/>
  <c r="T26" i="1"/>
  <c r="T30" i="1"/>
  <c r="T33" i="1"/>
  <c r="T32" i="1"/>
  <c r="T14" i="1"/>
  <c r="T31" i="1"/>
  <c r="T24" i="1"/>
  <c r="T17" i="1"/>
  <c r="T23" i="1"/>
  <c r="T20" i="1"/>
  <c r="R13" i="1"/>
  <c r="U13" i="1" s="1"/>
  <c r="R17" i="1"/>
  <c r="R21" i="1"/>
  <c r="R25" i="1"/>
  <c r="R29" i="1"/>
  <c r="U29" i="1" s="1"/>
  <c r="R33" i="1"/>
  <c r="U33" i="1" s="1"/>
  <c r="R14" i="1"/>
  <c r="R18" i="1"/>
  <c r="R22" i="1"/>
  <c r="R26" i="1"/>
  <c r="R30" i="1"/>
  <c r="R11" i="1"/>
  <c r="U11" i="1" s="1"/>
  <c r="R15" i="1"/>
  <c r="R19" i="1"/>
  <c r="U19" i="1" s="1"/>
  <c r="R23" i="1"/>
  <c r="R27" i="1"/>
  <c r="R31" i="1"/>
  <c r="R12" i="1"/>
  <c r="R16" i="1"/>
  <c r="R20" i="1"/>
  <c r="R24" i="1"/>
  <c r="U24" i="1" s="1"/>
  <c r="R28" i="1"/>
  <c r="R32" i="1"/>
  <c r="U32" i="1" s="1"/>
  <c r="T25" i="1"/>
  <c r="T16" i="1"/>
  <c r="T19" i="1"/>
  <c r="B41" i="1" l="1"/>
  <c r="U22" i="1"/>
  <c r="U21" i="1"/>
  <c r="U12" i="1"/>
  <c r="U26" i="1"/>
  <c r="U27" i="1"/>
  <c r="U18" i="1"/>
  <c r="U16" i="1"/>
  <c r="U23" i="1"/>
  <c r="U30" i="1"/>
  <c r="U14" i="1"/>
  <c r="B43" i="1"/>
  <c r="U28" i="1"/>
  <c r="U17" i="1"/>
  <c r="U15" i="1"/>
  <c r="U31" i="1"/>
  <c r="U20" i="1"/>
  <c r="U25" i="1"/>
  <c r="B42" i="1" l="1"/>
  <c r="D42" i="1"/>
  <c r="D43" i="1"/>
  <c r="G43" i="1" l="1"/>
</calcChain>
</file>

<file path=xl/sharedStrings.xml><?xml version="1.0" encoding="utf-8"?>
<sst xmlns="http://schemas.openxmlformats.org/spreadsheetml/2006/main" count="100" uniqueCount="50">
  <si>
    <t>C171215AS1</t>
  </si>
  <si>
    <t>Bats version 4.06 (04.06.2015) written by L. Wacker</t>
  </si>
  <si>
    <t xml:space="preserve">  run</t>
  </si>
  <si>
    <t xml:space="preserve"> sample type</t>
  </si>
  <si>
    <r>
      <t xml:space="preserve"> </t>
    </r>
    <r>
      <rPr>
        <b/>
        <vertAlign val="superscript"/>
        <sz val="10"/>
        <rFont val="Verdana"/>
        <family val="2"/>
      </rPr>
      <t>12</t>
    </r>
    <r>
      <rPr>
        <b/>
        <sz val="10"/>
        <rFont val="Verdana"/>
        <family val="2"/>
      </rPr>
      <t>C (HE) (µA)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</si>
  <si>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(HE) (nA)</t>
    </r>
  </si>
  <si>
    <t xml:space="preserve">  cyc</t>
  </si>
  <si>
    <t/>
  </si>
  <si>
    <t>mean</t>
  </si>
  <si>
    <t>sample</t>
  </si>
  <si>
    <t>oxa2</t>
  </si>
  <si>
    <t>Sample</t>
  </si>
  <si>
    <t xml:space="preserve"> sample weight</t>
  </si>
  <si>
    <t xml:space="preserve">  r-time (s)</t>
  </si>
  <si>
    <r>
      <t xml:space="preserve">  </t>
    </r>
    <r>
      <rPr>
        <b/>
        <vertAlign val="superscript"/>
        <sz val="10"/>
        <rFont val="Verdana"/>
        <family val="2"/>
      </rPr>
      <t>14</t>
    </r>
    <r>
      <rPr>
        <b/>
        <sz val="10"/>
        <rFont val="Verdana"/>
        <family val="2"/>
      </rPr>
      <t>C counts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</si>
  <si>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(nA) (molecular current)</t>
    </r>
  </si>
  <si>
    <t>reference</t>
  </si>
  <si>
    <t>blank</t>
  </si>
  <si>
    <t>Background correction</t>
  </si>
  <si>
    <t>delta_mol</t>
  </si>
  <si>
    <t>Blank subraction</t>
  </si>
  <si>
    <t>R_mol,bl</t>
  </si>
  <si>
    <t>R_mol</t>
  </si>
  <si>
    <t>R(bl)_mol</t>
  </si>
  <si>
    <t>delta_mol,bl</t>
  </si>
  <si>
    <t>Mass-Fractionation correction</t>
  </si>
  <si>
    <t>delta13C_sample</t>
  </si>
  <si>
    <t>mean(13C/12C)_std</t>
  </si>
  <si>
    <t>R_mol,bl,f</t>
  </si>
  <si>
    <t>delta_mol,bl,f</t>
  </si>
  <si>
    <t>mean(R(std)_mol,bl,f)</t>
  </si>
  <si>
    <t>mean(delta(std)_mol,bl,f)</t>
  </si>
  <si>
    <t>Standard normalisation</t>
  </si>
  <si>
    <t>mean(R(sample)_mol,bl,f)</t>
  </si>
  <si>
    <t xml:space="preserve">F14C </t>
  </si>
  <si>
    <t>sigma(std)_mol,bl,f</t>
  </si>
  <si>
    <t>(sigma(std)_mol,bl,f)^2</t>
  </si>
  <si>
    <t>mean(delta(std)_mol,bl,f)^2</t>
  </si>
  <si>
    <t>delta_bl^2</t>
  </si>
  <si>
    <r>
      <rPr>
        <b/>
        <sz val="10"/>
        <rFont val="Calibri"/>
        <family val="2"/>
      </rPr>
      <t>χ</t>
    </r>
    <r>
      <rPr>
        <b/>
        <sz val="10"/>
        <rFont val="Verdana"/>
        <family val="2"/>
      </rPr>
      <t>_red^2</t>
    </r>
  </si>
  <si>
    <r>
      <t xml:space="preserve"> </t>
    </r>
    <r>
      <rPr>
        <b/>
        <vertAlign val="superscript"/>
        <sz val="10"/>
        <rFont val="Verdana"/>
        <family val="2"/>
      </rPr>
      <t>12</t>
    </r>
    <r>
      <rPr>
        <b/>
        <sz val="10"/>
        <rFont val="Verdana"/>
        <family val="2"/>
      </rPr>
      <t>C (HE) counts</t>
    </r>
  </si>
  <si>
    <t>e charge</t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</si>
  <si>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(HE) counts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</si>
  <si>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counts (molecular current)</t>
    </r>
  </si>
  <si>
    <t>p [counts*s]</t>
  </si>
  <si>
    <t>mean(R(ref)_mol,bl,f)</t>
  </si>
  <si>
    <t>delta_F14C</t>
  </si>
  <si>
    <t>Time T</t>
  </si>
  <si>
    <t>delta_T</t>
  </si>
  <si>
    <t>Analysis (23.05.2019) by J. Studer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</si>
</sst>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;;"/>
    <numFmt numFmtId="165" formatCode="##0.00"/>
    <numFmt numFmtId="166" formatCode="##0.0"/>
    <numFmt numFmtId="167" formatCode="#0.0"/>
    <numFmt numFmtId="168" formatCode="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2"/>
      <name val="Verdana"/>
      <family val="2"/>
    </font>
    <font>
      <sz val="10"/>
      <color indexed="17"/>
      <name val="Verdana"/>
      <family val="2"/>
    </font>
    <font>
      <sz val="10"/>
      <color indexed="16"/>
      <name val="Verdana"/>
      <family val="2"/>
    </font>
    <font>
      <b/>
      <vertAlign val="superscript"/>
      <sz val="10"/>
      <name val="Verdana"/>
      <family val="2"/>
    </font>
    <font>
      <sz val="11"/>
      <name val="Calibri"/>
      <family val="2"/>
      <scheme val="minor"/>
    </font>
    <font>
      <sz val="10"/>
      <color rgb="FF00B050"/>
      <name val="Verdana"/>
      <family val="2"/>
    </font>
    <font>
      <sz val="11"/>
      <color rgb="FF00B050"/>
      <name val="Calibri"/>
      <family val="2"/>
      <scheme val="minor"/>
    </font>
    <font>
      <sz val="10"/>
      <color rgb="FF0000FF"/>
      <name val="Verdana"/>
      <family val="2"/>
    </font>
    <font>
      <sz val="11"/>
      <color rgb="FF0000FF"/>
      <name val="Calibri"/>
      <family val="2"/>
      <scheme val="minor"/>
    </font>
    <font>
      <sz val="10"/>
      <color rgb="FFC00000"/>
      <name val="Verdana"/>
      <family val="2"/>
    </font>
    <font>
      <sz val="11"/>
      <color rgb="FFC00000"/>
      <name val="Calibri"/>
      <family val="2"/>
      <scheme val="minor"/>
    </font>
    <font>
      <b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wrapText="1"/>
    </xf>
    <xf numFmtId="164" fontId="19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165" fontId="19" fillId="0" borderId="0" xfId="0" applyNumberFormat="1" applyFont="1" applyFill="1" applyBorder="1" applyAlignment="1" applyProtection="1"/>
    <xf numFmtId="166" fontId="19" fillId="0" borderId="0" xfId="0" applyNumberFormat="1" applyFont="1" applyFill="1" applyBorder="1" applyAlignment="1" applyProtection="1"/>
    <xf numFmtId="167" fontId="19" fillId="0" borderId="0" xfId="0" applyNumberFormat="1" applyFont="1" applyFill="1" applyBorder="1" applyAlignment="1" applyProtection="1"/>
    <xf numFmtId="168" fontId="19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5" fillId="0" borderId="0" xfId="0" applyFont="1"/>
    <xf numFmtId="164" fontId="26" fillId="0" borderId="0" xfId="0" applyNumberFormat="1" applyFont="1" applyFill="1" applyBorder="1" applyAlignment="1" applyProtection="1"/>
    <xf numFmtId="3" fontId="26" fillId="0" borderId="0" xfId="0" applyNumberFormat="1" applyFont="1" applyFill="1" applyBorder="1" applyAlignment="1" applyProtection="1"/>
    <xf numFmtId="165" fontId="26" fillId="0" borderId="0" xfId="0" applyNumberFormat="1" applyFont="1" applyFill="1" applyBorder="1" applyAlignment="1" applyProtection="1"/>
    <xf numFmtId="166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168" fontId="26" fillId="0" borderId="0" xfId="0" applyNumberFormat="1" applyFont="1" applyFill="1" applyBorder="1" applyAlignment="1" applyProtection="1"/>
    <xf numFmtId="0" fontId="27" fillId="0" borderId="0" xfId="0" applyFont="1"/>
    <xf numFmtId="164" fontId="28" fillId="0" borderId="0" xfId="0" applyNumberFormat="1" applyFont="1" applyFill="1" applyBorder="1" applyAlignment="1" applyProtection="1"/>
    <xf numFmtId="3" fontId="28" fillId="0" borderId="0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166" fontId="28" fillId="0" borderId="0" xfId="0" applyNumberFormat="1" applyFont="1" applyFill="1" applyBorder="1" applyAlignment="1" applyProtection="1"/>
    <xf numFmtId="167" fontId="28" fillId="0" borderId="0" xfId="0" applyNumberFormat="1" applyFont="1" applyFill="1" applyBorder="1" applyAlignment="1" applyProtection="1"/>
    <xf numFmtId="168" fontId="28" fillId="0" borderId="0" xfId="0" applyNumberFormat="1" applyFont="1" applyFill="1" applyBorder="1" applyAlignment="1" applyProtection="1"/>
    <xf numFmtId="0" fontId="29" fillId="0" borderId="0" xfId="0" applyFont="1"/>
    <xf numFmtId="164" fontId="30" fillId="0" borderId="0" xfId="0" applyNumberFormat="1" applyFont="1" applyFill="1" applyBorder="1" applyAlignment="1" applyProtection="1"/>
    <xf numFmtId="3" fontId="30" fillId="0" borderId="0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166" fontId="30" fillId="0" borderId="0" xfId="0" applyNumberFormat="1" applyFont="1" applyFill="1" applyBorder="1" applyAlignment="1" applyProtection="1"/>
    <xf numFmtId="167" fontId="30" fillId="0" borderId="0" xfId="0" applyNumberFormat="1" applyFont="1" applyFill="1" applyBorder="1" applyAlignment="1" applyProtection="1"/>
    <xf numFmtId="168" fontId="30" fillId="0" borderId="0" xfId="0" applyNumberFormat="1" applyFont="1" applyFill="1" applyBorder="1" applyAlignment="1" applyProtection="1"/>
    <xf numFmtId="0" fontId="31" fillId="0" borderId="0" xfId="0" applyFon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selection activeCell="Q11" sqref="Q11"/>
    </sheetView>
  </sheetViews>
  <sheetFormatPr baseColWidth="10" defaultColWidth="9.06640625" defaultRowHeight="14.25" x14ac:dyDescent="0.45"/>
  <cols>
    <col min="1" max="1" width="15.19921875" customWidth="1"/>
    <col min="2" max="2" width="29.6640625" customWidth="1"/>
    <col min="3" max="3" width="14.1328125" customWidth="1"/>
    <col min="4" max="5" width="18.1328125" customWidth="1"/>
    <col min="6" max="7" width="16.1328125" customWidth="1"/>
    <col min="8" max="9" width="18.53125" customWidth="1"/>
    <col min="10" max="10" width="15.6640625" customWidth="1"/>
    <col min="11" max="11" width="26.796875" customWidth="1"/>
    <col min="12" max="12" width="9.19921875" customWidth="1"/>
    <col min="13" max="13" width="7.796875" bestFit="1" customWidth="1"/>
    <col min="14" max="14" width="12.3984375" customWidth="1"/>
    <col min="15" max="15" width="13.1328125" customWidth="1"/>
    <col min="16" max="16" width="15" customWidth="1"/>
    <col min="17" max="17" width="14.265625" customWidth="1"/>
    <col min="18" max="18" width="13.46484375" customWidth="1"/>
    <col min="19" max="19" width="19.19921875" customWidth="1"/>
    <col min="20" max="20" width="13.46484375" customWidth="1"/>
    <col min="21" max="21" width="15.265625" customWidth="1"/>
    <col min="22" max="22" width="10.265625" customWidth="1"/>
  </cols>
  <sheetData>
    <row r="1" spans="1:25" s="1" customFormat="1" ht="14.65" x14ac:dyDescent="0.35">
      <c r="A1" s="1" t="s">
        <v>0</v>
      </c>
    </row>
    <row r="2" spans="1:25" x14ac:dyDescent="0.45">
      <c r="E2" t="s">
        <v>41</v>
      </c>
      <c r="F2">
        <f>1.602 * 10^(-19)</f>
        <v>1.602E-19</v>
      </c>
    </row>
    <row r="3" spans="1:25" s="2" customFormat="1" ht="12.4" x14ac:dyDescent="0.3">
      <c r="A3" s="2" t="s">
        <v>1</v>
      </c>
    </row>
    <row r="4" spans="1:25" x14ac:dyDescent="0.45">
      <c r="A4" t="s">
        <v>49</v>
      </c>
      <c r="O4" t="s">
        <v>18</v>
      </c>
      <c r="Q4" t="s">
        <v>20</v>
      </c>
      <c r="S4" t="s">
        <v>25</v>
      </c>
      <c r="V4" t="s">
        <v>32</v>
      </c>
    </row>
    <row r="5" spans="1:25" s="3" customFormat="1" ht="49.5" x14ac:dyDescent="0.3">
      <c r="A5" s="3" t="s">
        <v>2</v>
      </c>
      <c r="B5" s="3" t="s">
        <v>3</v>
      </c>
      <c r="C5" s="3" t="s">
        <v>14</v>
      </c>
      <c r="D5" s="3" t="s">
        <v>4</v>
      </c>
      <c r="E5" s="3" t="s">
        <v>40</v>
      </c>
      <c r="F5" s="3" t="s">
        <v>5</v>
      </c>
      <c r="G5" s="3" t="s">
        <v>42</v>
      </c>
      <c r="H5" s="3" t="s">
        <v>15</v>
      </c>
      <c r="I5" s="3" t="s">
        <v>43</v>
      </c>
      <c r="J5" s="3" t="s">
        <v>13</v>
      </c>
      <c r="K5" s="3" t="s">
        <v>44</v>
      </c>
      <c r="L5" s="3" t="s">
        <v>6</v>
      </c>
      <c r="M5" s="3" t="s">
        <v>12</v>
      </c>
      <c r="O5" s="3" t="s">
        <v>22</v>
      </c>
      <c r="P5" s="3" t="s">
        <v>19</v>
      </c>
      <c r="Q5" s="3" t="s">
        <v>21</v>
      </c>
      <c r="R5" s="3" t="s">
        <v>24</v>
      </c>
      <c r="S5" s="3" t="s">
        <v>26</v>
      </c>
      <c r="T5" s="3" t="s">
        <v>28</v>
      </c>
      <c r="U5" s="3" t="s">
        <v>29</v>
      </c>
      <c r="V5" s="3" t="s">
        <v>34</v>
      </c>
      <c r="W5" s="3" t="s">
        <v>46</v>
      </c>
      <c r="X5" s="3" t="s">
        <v>47</v>
      </c>
      <c r="Y5" s="3" t="s">
        <v>48</v>
      </c>
    </row>
    <row r="6" spans="1:25" s="27" customFormat="1" x14ac:dyDescent="0.45">
      <c r="A6" s="21" t="s">
        <v>8</v>
      </c>
      <c r="B6" s="21" t="s">
        <v>17</v>
      </c>
      <c r="C6" s="22">
        <v>1359</v>
      </c>
      <c r="D6" s="23">
        <v>32.606756665477967</v>
      </c>
      <c r="E6" s="23">
        <f t="shared" ref="E6:E33" si="0">D6*10^(-6)/($F$2*J6)</f>
        <v>60966879621.097252</v>
      </c>
      <c r="F6" s="24">
        <v>352.19264464377312</v>
      </c>
      <c r="G6" s="24">
        <f>F6*10^(-9)/($F$2*J6)</f>
        <v>658516478.33978307</v>
      </c>
      <c r="H6" s="25">
        <v>1.2281261140301651</v>
      </c>
      <c r="I6" s="25">
        <f>H6*10^(-9)/($F$2*J6)</f>
        <v>2296303.72998355</v>
      </c>
      <c r="J6" s="25">
        <v>3338.49802</v>
      </c>
      <c r="K6" s="25">
        <f>E6*J6</f>
        <v>203537806900611.53</v>
      </c>
      <c r="L6" s="26">
        <v>17</v>
      </c>
      <c r="M6" s="25">
        <v>996</v>
      </c>
      <c r="O6" s="27">
        <f>(C6-0*I6)/E6</f>
        <v>2.2290791466547773E-8</v>
      </c>
      <c r="P6" s="27">
        <f>SQRT(C6)/E6</f>
        <v>6.0466629441170758E-10</v>
      </c>
    </row>
    <row r="7" spans="1:25" s="27" customFormat="1" x14ac:dyDescent="0.45">
      <c r="A7" s="21" t="s">
        <v>8</v>
      </c>
      <c r="B7" s="21" t="s">
        <v>17</v>
      </c>
      <c r="C7" s="22">
        <v>1294</v>
      </c>
      <c r="D7" s="23">
        <v>33.697123307709582</v>
      </c>
      <c r="E7" s="23">
        <f t="shared" si="0"/>
        <v>63007299203.932663</v>
      </c>
      <c r="F7" s="24">
        <v>363.93669666225259</v>
      </c>
      <c r="G7" s="24">
        <f t="shared" ref="G7:G33" si="1">F7*10^(-9)/($F$2*J7)</f>
        <v>680493350.38172567</v>
      </c>
      <c r="H7" s="25">
        <v>1.5508482894530449</v>
      </c>
      <c r="I7" s="25">
        <f t="shared" ref="I7:I33" si="2">H7*10^(-9)/($F$2*J7)</f>
        <v>2899795.3712897194</v>
      </c>
      <c r="J7" s="25">
        <v>3338.4082990000002</v>
      </c>
      <c r="K7" s="25">
        <f t="shared" ref="K7:K33" si="3">E7*J7</f>
        <v>210344090559984.91</v>
      </c>
      <c r="L7" s="26">
        <v>17</v>
      </c>
      <c r="M7" s="25">
        <v>978</v>
      </c>
      <c r="O7" s="27">
        <f t="shared" ref="O7:O33" si="4">(C7-0*I7)/E7</f>
        <v>2.0537303079945912E-8</v>
      </c>
      <c r="P7" s="27">
        <f t="shared" ref="P7:P33" si="5">SQRT(C7)/E7</f>
        <v>5.7092133691971764E-10</v>
      </c>
    </row>
    <row r="8" spans="1:25" s="27" customFormat="1" x14ac:dyDescent="0.45">
      <c r="A8" s="21" t="s">
        <v>8</v>
      </c>
      <c r="B8" s="21" t="s">
        <v>17</v>
      </c>
      <c r="C8" s="22">
        <v>1321</v>
      </c>
      <c r="D8" s="23">
        <v>34.8543049171696</v>
      </c>
      <c r="E8" s="23">
        <f t="shared" si="0"/>
        <v>65170260727.050514</v>
      </c>
      <c r="F8" s="24">
        <v>375.71552397083747</v>
      </c>
      <c r="G8" s="24">
        <f t="shared" si="1"/>
        <v>702509452.26332915</v>
      </c>
      <c r="H8" s="25">
        <v>1.4877640238667036</v>
      </c>
      <c r="I8" s="25">
        <f t="shared" si="2"/>
        <v>2781807.5720097451</v>
      </c>
      <c r="J8" s="25">
        <v>3338.44677</v>
      </c>
      <c r="K8" s="25">
        <f t="shared" si="3"/>
        <v>217567446424279.66</v>
      </c>
      <c r="L8" s="26">
        <v>17</v>
      </c>
      <c r="M8" s="25">
        <v>1000</v>
      </c>
      <c r="O8" s="27">
        <f t="shared" si="4"/>
        <v>2.0269981817821493E-8</v>
      </c>
      <c r="P8" s="27">
        <f t="shared" si="5"/>
        <v>5.5770167688904732E-10</v>
      </c>
    </row>
    <row r="9" spans="1:25" s="27" customFormat="1" x14ac:dyDescent="0.45">
      <c r="A9" s="21" t="s">
        <v>8</v>
      </c>
      <c r="B9" s="21" t="s">
        <v>17</v>
      </c>
      <c r="C9" s="22">
        <v>1329</v>
      </c>
      <c r="D9" s="23">
        <v>35.203936956515527</v>
      </c>
      <c r="E9" s="23">
        <f t="shared" si="0"/>
        <v>65824601600.591484</v>
      </c>
      <c r="F9" s="24">
        <v>379.83460909178524</v>
      </c>
      <c r="G9" s="24">
        <f t="shared" si="1"/>
        <v>710217776.16709793</v>
      </c>
      <c r="H9" s="25">
        <v>1.655725203977066</v>
      </c>
      <c r="I9" s="25">
        <f t="shared" si="2"/>
        <v>3095888.168600902</v>
      </c>
      <c r="J9" s="25">
        <v>3338.4162340000003</v>
      </c>
      <c r="K9" s="25">
        <f t="shared" si="3"/>
        <v>219749918579997</v>
      </c>
      <c r="L9" s="26">
        <v>17</v>
      </c>
      <c r="M9" s="25">
        <v>998</v>
      </c>
      <c r="O9" s="27">
        <f t="shared" si="4"/>
        <v>2.0190019653503803E-8</v>
      </c>
      <c r="P9" s="27">
        <f t="shared" si="5"/>
        <v>5.5382716158799798E-10</v>
      </c>
    </row>
    <row r="10" spans="1:25" s="27" customFormat="1" x14ac:dyDescent="0.45">
      <c r="A10" s="21" t="s">
        <v>8</v>
      </c>
      <c r="B10" s="21" t="s">
        <v>17</v>
      </c>
      <c r="C10" s="22">
        <v>1100</v>
      </c>
      <c r="D10" s="23">
        <v>35.40992959215879</v>
      </c>
      <c r="E10" s="23">
        <f t="shared" si="0"/>
        <v>66208148098.76284</v>
      </c>
      <c r="F10" s="24">
        <v>379.34601314676024</v>
      </c>
      <c r="G10" s="24">
        <f t="shared" si="1"/>
        <v>709286838.70237374</v>
      </c>
      <c r="H10" s="25">
        <v>1.4980740763844504</v>
      </c>
      <c r="I10" s="25">
        <f t="shared" si="2"/>
        <v>2801042.29109065</v>
      </c>
      <c r="J10" s="25">
        <v>3338.4979280000002</v>
      </c>
      <c r="K10" s="25">
        <f t="shared" si="3"/>
        <v>221035765244436.91</v>
      </c>
      <c r="L10" s="26">
        <v>17</v>
      </c>
      <c r="M10" s="25">
        <v>980</v>
      </c>
      <c r="O10" s="27">
        <f t="shared" si="4"/>
        <v>1.6614269264247167E-8</v>
      </c>
      <c r="P10" s="27">
        <f t="shared" si="5"/>
        <v>5.0093906650401753E-10</v>
      </c>
    </row>
    <row r="11" spans="1:25" s="20" customFormat="1" x14ac:dyDescent="0.45">
      <c r="A11" s="14" t="s">
        <v>8</v>
      </c>
      <c r="B11" s="14" t="s">
        <v>16</v>
      </c>
      <c r="C11" s="15">
        <v>202277</v>
      </c>
      <c r="D11" s="16">
        <v>33.940415433800695</v>
      </c>
      <c r="E11" s="16">
        <f t="shared" si="0"/>
        <v>63478794203.756248</v>
      </c>
      <c r="F11" s="17">
        <v>366.19968777077304</v>
      </c>
      <c r="G11" s="17">
        <f t="shared" si="1"/>
        <v>684903656.0209713</v>
      </c>
      <c r="H11" s="18">
        <v>1.4060343746177266</v>
      </c>
      <c r="I11" s="18">
        <f t="shared" si="2"/>
        <v>2629707.5498044686</v>
      </c>
      <c r="J11" s="18">
        <v>3337.5361120000002</v>
      </c>
      <c r="K11" s="18">
        <f t="shared" si="3"/>
        <v>211862768001252.78</v>
      </c>
      <c r="L11" s="19">
        <v>17</v>
      </c>
      <c r="M11" s="18">
        <v>998</v>
      </c>
      <c r="O11" s="20">
        <f t="shared" si="4"/>
        <v>3.1865287067477188E-6</v>
      </c>
      <c r="P11" s="20">
        <f t="shared" si="5"/>
        <v>7.0850771444341482E-9</v>
      </c>
      <c r="Q11" s="20">
        <f>O11-$B$38</f>
        <v>3.1665926762370299E-6</v>
      </c>
      <c r="R11" s="20">
        <f>SQRT($B$39^2+P11^2)</f>
        <v>7.1069858793672618E-9</v>
      </c>
      <c r="S11" s="20">
        <f>(((G11/E11)*(1-17.8/1000))/$B$40 -1)*1000</f>
        <v>-22.485742262937425</v>
      </c>
      <c r="T11" s="20">
        <f>Q11*(0.975/(1+S11/1000))^2</f>
        <v>3.1503240826155927E-6</v>
      </c>
      <c r="U11" s="20">
        <f>R11*(0.975/(1+S11/1000))^2</f>
        <v>7.0704732372417466E-9</v>
      </c>
      <c r="V11" s="20">
        <f>$B$44*1.34066/$B$41</f>
        <v>0.25626347832723329</v>
      </c>
      <c r="W11" s="20">
        <f>V11*SQRT((U11/T11)^2+(U12/T12)^2+$D$42/($B$41^2))</f>
        <v>8.5030956026277795E-4</v>
      </c>
      <c r="X11" s="20">
        <f>-8033*LN(V11)</f>
        <v>10937.324334502247</v>
      </c>
      <c r="Y11" s="20">
        <f>-8033*W11/V11</f>
        <v>-26.654350991321145</v>
      </c>
    </row>
    <row r="12" spans="1:25" s="20" customFormat="1" x14ac:dyDescent="0.45">
      <c r="A12" s="14" t="s">
        <v>8</v>
      </c>
      <c r="B12" s="14" t="s">
        <v>16</v>
      </c>
      <c r="C12" s="15">
        <v>202442</v>
      </c>
      <c r="D12" s="16">
        <v>33.96636692897075</v>
      </c>
      <c r="E12" s="16">
        <f t="shared" si="0"/>
        <v>63525364835.522835</v>
      </c>
      <c r="F12" s="17">
        <v>366.58299331443538</v>
      </c>
      <c r="G12" s="17">
        <f t="shared" si="1"/>
        <v>685599329.52191055</v>
      </c>
      <c r="H12" s="18">
        <v>1.4857832030620413</v>
      </c>
      <c r="I12" s="18">
        <f t="shared" si="2"/>
        <v>2778775.8472486106</v>
      </c>
      <c r="J12" s="18">
        <v>3337.639428</v>
      </c>
      <c r="K12" s="18">
        <f t="shared" si="3"/>
        <v>212024762353125.75</v>
      </c>
      <c r="L12" s="19">
        <v>17</v>
      </c>
      <c r="M12" s="18">
        <v>985</v>
      </c>
      <c r="O12" s="20">
        <f t="shared" si="4"/>
        <v>3.1867900408624837E-6</v>
      </c>
      <c r="P12" s="20">
        <f t="shared" si="5"/>
        <v>7.0827700416252322E-9</v>
      </c>
      <c r="Q12" s="20">
        <f t="shared" ref="Q12:Q33" si="6">O12-$B$38</f>
        <v>3.1668540103517948E-6</v>
      </c>
      <c r="R12" s="20">
        <f t="shared" ref="R12:R33" si="7">SQRT($B$39^2+P12^2)</f>
        <v>7.1046858909797267E-9</v>
      </c>
      <c r="S12" s="20">
        <f t="shared" ref="S12:S33" si="8">(((G12/E12)*(1-17.8/1000))/$B$40 -1)*1000</f>
        <v>-22.210203435814702</v>
      </c>
      <c r="T12" s="20">
        <f t="shared" ref="T12:T33" si="9">Q12*(0.975/(1+S12/1000))^2</f>
        <v>3.1488086701751136E-6</v>
      </c>
      <c r="U12" s="20">
        <f t="shared" ref="U12:U33" si="10">R12*(0.975/(1+S12/1000))^2</f>
        <v>7.0642020311831849E-9</v>
      </c>
    </row>
    <row r="13" spans="1:25" s="34" customFormat="1" x14ac:dyDescent="0.45">
      <c r="A13" s="28" t="s">
        <v>8</v>
      </c>
      <c r="B13" s="28" t="s">
        <v>10</v>
      </c>
      <c r="C13" s="29">
        <v>1053417</v>
      </c>
      <c r="D13" s="30">
        <v>33.637989888972143</v>
      </c>
      <c r="E13" s="30">
        <f t="shared" si="0"/>
        <v>62973806106.812271</v>
      </c>
      <c r="F13" s="31">
        <v>364.4555952644215</v>
      </c>
      <c r="G13" s="31">
        <f t="shared" si="1"/>
        <v>682298676.778211</v>
      </c>
      <c r="H13" s="32">
        <v>1.389001973253436</v>
      </c>
      <c r="I13" s="32">
        <f t="shared" si="2"/>
        <v>2600355.7654412012</v>
      </c>
      <c r="J13" s="32">
        <v>3334.3223330000001</v>
      </c>
      <c r="K13" s="32">
        <f t="shared" si="3"/>
        <v>209974968095955.94</v>
      </c>
      <c r="L13" s="33">
        <v>17</v>
      </c>
      <c r="M13" s="32">
        <v>982</v>
      </c>
      <c r="O13" s="34">
        <f t="shared" si="4"/>
        <v>1.6727859805920883E-5</v>
      </c>
      <c r="P13" s="34">
        <f t="shared" si="5"/>
        <v>1.6298221610494016E-8</v>
      </c>
      <c r="Q13" s="34">
        <f t="shared" si="6"/>
        <v>1.6707923775410195E-5</v>
      </c>
      <c r="R13" s="34">
        <f t="shared" si="7"/>
        <v>1.6307757596055832E-8</v>
      </c>
      <c r="S13" s="34">
        <f t="shared" si="8"/>
        <v>-18.394753095247296</v>
      </c>
      <c r="T13" s="34">
        <f t="shared" si="9"/>
        <v>1.6483824210659068E-5</v>
      </c>
      <c r="U13" s="34">
        <f>R13*(0.975/(1+S13/1000))^2</f>
        <v>1.608902536885226E-8</v>
      </c>
    </row>
    <row r="14" spans="1:25" s="34" customFormat="1" x14ac:dyDescent="0.45">
      <c r="A14" s="28" t="s">
        <v>8</v>
      </c>
      <c r="B14" s="28" t="s">
        <v>10</v>
      </c>
      <c r="C14" s="29">
        <v>1053967</v>
      </c>
      <c r="D14" s="30">
        <v>33.640720463129689</v>
      </c>
      <c r="E14" s="30">
        <f t="shared" si="0"/>
        <v>62982298661.105713</v>
      </c>
      <c r="F14" s="31">
        <v>364.58303746795099</v>
      </c>
      <c r="G14" s="31">
        <f t="shared" si="1"/>
        <v>682573899.6210351</v>
      </c>
      <c r="H14" s="32">
        <v>1.4407816885234352</v>
      </c>
      <c r="I14" s="32">
        <f t="shared" si="2"/>
        <v>2697437.5507650184</v>
      </c>
      <c r="J14" s="32">
        <v>3334.14336</v>
      </c>
      <c r="K14" s="32">
        <f t="shared" si="3"/>
        <v>209992012878462.5</v>
      </c>
      <c r="L14" s="33">
        <v>17</v>
      </c>
      <c r="M14" s="32">
        <v>995</v>
      </c>
      <c r="O14" s="34">
        <f t="shared" si="4"/>
        <v>1.6734336828053404E-5</v>
      </c>
      <c r="P14" s="34">
        <f t="shared" si="5"/>
        <v>1.6300277559695065E-8</v>
      </c>
      <c r="Q14" s="34">
        <f t="shared" si="6"/>
        <v>1.6714400797542717E-5</v>
      </c>
      <c r="R14" s="34">
        <f t="shared" si="7"/>
        <v>1.6309812343189022E-8</v>
      </c>
      <c r="S14" s="34">
        <f t="shared" si="8"/>
        <v>-18.131210567143729</v>
      </c>
      <c r="T14" s="34">
        <f t="shared" si="9"/>
        <v>1.6481363298459692E-5</v>
      </c>
      <c r="U14" s="34">
        <f t="shared" si="10"/>
        <v>1.6082415745188993E-8</v>
      </c>
    </row>
    <row r="15" spans="1:25" s="34" customFormat="1" x14ac:dyDescent="0.45">
      <c r="A15" s="28" t="s">
        <v>8</v>
      </c>
      <c r="B15" s="28" t="s">
        <v>10</v>
      </c>
      <c r="C15" s="29">
        <v>1075503</v>
      </c>
      <c r="D15" s="30">
        <v>34.316723708171565</v>
      </c>
      <c r="E15" s="30">
        <f t="shared" si="0"/>
        <v>64245859161.172813</v>
      </c>
      <c r="F15" s="31">
        <v>372.16749841100693</v>
      </c>
      <c r="G15" s="31">
        <f t="shared" si="1"/>
        <v>696751265.96033454</v>
      </c>
      <c r="H15" s="32">
        <v>1.3500715141327548</v>
      </c>
      <c r="I15" s="32">
        <f t="shared" si="2"/>
        <v>2527528.7085121837</v>
      </c>
      <c r="J15" s="32">
        <v>3334.2500399999999</v>
      </c>
      <c r="K15" s="32">
        <f t="shared" si="3"/>
        <v>214211758477974.81</v>
      </c>
      <c r="L15" s="33">
        <v>17</v>
      </c>
      <c r="M15" s="32">
        <v>982</v>
      </c>
      <c r="O15" s="34">
        <f t="shared" si="4"/>
        <v>1.6740425204710836E-5</v>
      </c>
      <c r="P15" s="34">
        <f t="shared" si="5"/>
        <v>1.6142123725609639E-8</v>
      </c>
      <c r="Q15" s="34">
        <f t="shared" si="6"/>
        <v>1.6720489174200149E-5</v>
      </c>
      <c r="R15" s="34">
        <f t="shared" si="7"/>
        <v>1.6151751871541122E-8</v>
      </c>
      <c r="S15" s="34">
        <f t="shared" si="8"/>
        <v>-17.449434583840628</v>
      </c>
      <c r="T15" s="34">
        <f t="shared" si="9"/>
        <v>1.6464494091719836E-5</v>
      </c>
      <c r="U15" s="34">
        <f t="shared" si="10"/>
        <v>1.5904464306597347E-8</v>
      </c>
    </row>
    <row r="16" spans="1:25" s="34" customFormat="1" x14ac:dyDescent="0.45">
      <c r="A16" s="28" t="s">
        <v>8</v>
      </c>
      <c r="B16" s="28" t="s">
        <v>10</v>
      </c>
      <c r="C16" s="29">
        <v>1089412</v>
      </c>
      <c r="D16" s="30">
        <v>34.695565931330407</v>
      </c>
      <c r="E16" s="30">
        <f t="shared" si="0"/>
        <v>64958990610.656937</v>
      </c>
      <c r="F16" s="31">
        <v>376.32497671626419</v>
      </c>
      <c r="G16" s="31">
        <f t="shared" si="1"/>
        <v>704576794.55209064</v>
      </c>
      <c r="H16" s="32">
        <v>1.3960234730961452</v>
      </c>
      <c r="I16" s="32">
        <f t="shared" si="2"/>
        <v>2613713.6906944201</v>
      </c>
      <c r="J16" s="32">
        <v>3334.0506730000002</v>
      </c>
      <c r="K16" s="32">
        <f t="shared" si="3"/>
        <v>216576566362861.44</v>
      </c>
      <c r="L16" s="33">
        <v>17</v>
      </c>
      <c r="M16" s="32">
        <v>926</v>
      </c>
      <c r="O16" s="34">
        <f t="shared" si="4"/>
        <v>1.6770765520812681E-5</v>
      </c>
      <c r="P16" s="34">
        <f t="shared" si="5"/>
        <v>1.606781451133489E-8</v>
      </c>
      <c r="Q16" s="34">
        <f t="shared" si="6"/>
        <v>1.6750829490301994E-5</v>
      </c>
      <c r="R16" s="34">
        <f t="shared" si="7"/>
        <v>1.6077487158060694E-8</v>
      </c>
      <c r="S16" s="34">
        <f t="shared" si="8"/>
        <v>-17.321730496394295</v>
      </c>
      <c r="T16" s="34">
        <f t="shared" si="9"/>
        <v>1.6490083112032277E-5</v>
      </c>
      <c r="U16" s="34">
        <f t="shared" si="10"/>
        <v>1.5827222145777614E-8</v>
      </c>
    </row>
    <row r="17" spans="1:25" s="34" customFormat="1" x14ac:dyDescent="0.45">
      <c r="A17" s="28" t="s">
        <v>8</v>
      </c>
      <c r="B17" s="28" t="s">
        <v>10</v>
      </c>
      <c r="C17" s="29">
        <v>1031458</v>
      </c>
      <c r="D17" s="30">
        <v>32.959499127988259</v>
      </c>
      <c r="E17" s="30">
        <f t="shared" si="0"/>
        <v>61702332402.505821</v>
      </c>
      <c r="F17" s="31">
        <v>356.90188950993803</v>
      </c>
      <c r="G17" s="31">
        <f t="shared" si="1"/>
        <v>668143618.81259382</v>
      </c>
      <c r="H17" s="32">
        <v>1.247145202731252</v>
      </c>
      <c r="I17" s="32">
        <f t="shared" si="2"/>
        <v>2334737.1740782615</v>
      </c>
      <c r="J17" s="32">
        <v>3334.3908879999999</v>
      </c>
      <c r="K17" s="32">
        <f t="shared" si="3"/>
        <v>205739694931262.56</v>
      </c>
      <c r="L17" s="33">
        <v>17</v>
      </c>
      <c r="M17" s="32">
        <v>985</v>
      </c>
      <c r="O17" s="34">
        <f t="shared" si="4"/>
        <v>1.6716677633374374E-5</v>
      </c>
      <c r="P17" s="34">
        <f t="shared" si="5"/>
        <v>1.6459786332083804E-8</v>
      </c>
      <c r="Q17" s="34">
        <f t="shared" si="6"/>
        <v>1.6696741602863687E-5</v>
      </c>
      <c r="R17" s="34">
        <f t="shared" si="7"/>
        <v>1.6469228768973832E-8</v>
      </c>
      <c r="S17" s="34">
        <f t="shared" si="8"/>
        <v>-18.951385728972923</v>
      </c>
      <c r="T17" s="34">
        <f t="shared" si="9"/>
        <v>1.6491490167545484E-5</v>
      </c>
      <c r="U17" s="34">
        <f t="shared" si="10"/>
        <v>1.6266774126995306E-8</v>
      </c>
    </row>
    <row r="18" spans="1:25" s="34" customFormat="1" x14ac:dyDescent="0.45">
      <c r="A18" s="28" t="s">
        <v>8</v>
      </c>
      <c r="B18" s="28" t="s">
        <v>10</v>
      </c>
      <c r="C18" s="29">
        <v>1104261</v>
      </c>
      <c r="D18" s="30">
        <v>35.193171732511772</v>
      </c>
      <c r="E18" s="30">
        <f t="shared" si="0"/>
        <v>65902488829.800896</v>
      </c>
      <c r="F18" s="31">
        <v>381.9832000753189</v>
      </c>
      <c r="G18" s="31">
        <f t="shared" si="1"/>
        <v>715299086.06900775</v>
      </c>
      <c r="H18" s="32">
        <v>1.2926471240447557</v>
      </c>
      <c r="I18" s="32">
        <f t="shared" si="2"/>
        <v>2420602.0219125552</v>
      </c>
      <c r="J18" s="32">
        <v>3333.4510400000004</v>
      </c>
      <c r="K18" s="32">
        <f t="shared" si="3"/>
        <v>219682719928288.22</v>
      </c>
      <c r="L18" s="33">
        <v>17</v>
      </c>
      <c r="M18" s="32">
        <v>993</v>
      </c>
      <c r="O18" s="34">
        <f t="shared" si="4"/>
        <v>1.6755983265698105E-5</v>
      </c>
      <c r="P18" s="34">
        <f t="shared" si="5"/>
        <v>1.594534979629533E-8</v>
      </c>
      <c r="Q18" s="34">
        <f t="shared" si="6"/>
        <v>1.6736047235187418E-5</v>
      </c>
      <c r="R18" s="34">
        <f t="shared" si="7"/>
        <v>1.5955096686424625E-8</v>
      </c>
      <c r="S18" s="34">
        <f t="shared" si="8"/>
        <v>-16.649962421049658</v>
      </c>
      <c r="T18" s="34">
        <f t="shared" si="9"/>
        <v>1.6453028382438364E-5</v>
      </c>
      <c r="U18" s="34">
        <f t="shared" si="10"/>
        <v>1.5685284281127505E-8</v>
      </c>
    </row>
    <row r="19" spans="1:25" s="13" customFormat="1" x14ac:dyDescent="0.45">
      <c r="A19" s="4" t="s">
        <v>8</v>
      </c>
      <c r="B19" s="4" t="s">
        <v>11</v>
      </c>
      <c r="C19" s="5">
        <v>216971</v>
      </c>
      <c r="D19" s="6">
        <v>33.966497859771884</v>
      </c>
      <c r="E19" s="6">
        <f t="shared" si="0"/>
        <v>63526047605.400665</v>
      </c>
      <c r="F19" s="7">
        <v>365.5214018546111</v>
      </c>
      <c r="G19" s="7">
        <f t="shared" si="1"/>
        <v>683618607.69018245</v>
      </c>
      <c r="H19" s="8">
        <v>1.3887407404986516</v>
      </c>
      <c r="I19" s="8">
        <f t="shared" si="2"/>
        <v>2597300.750777761</v>
      </c>
      <c r="J19" s="8">
        <v>3337.6164210000002</v>
      </c>
      <c r="K19" s="8">
        <f t="shared" si="3"/>
        <v>212025579649013</v>
      </c>
      <c r="L19" s="9">
        <v>17</v>
      </c>
      <c r="M19" s="8">
        <v>988</v>
      </c>
      <c r="O19" s="13">
        <f t="shared" si="4"/>
        <v>3.4154651230270182E-6</v>
      </c>
      <c r="P19" s="13">
        <f t="shared" si="5"/>
        <v>7.3324483012874683E-9</v>
      </c>
      <c r="Q19" s="13">
        <f t="shared" si="6"/>
        <v>3.3955290925163293E-6</v>
      </c>
      <c r="R19" s="13">
        <f t="shared" si="7"/>
        <v>7.3536200770774113E-9</v>
      </c>
      <c r="S19" s="13">
        <f t="shared" si="8"/>
        <v>-25.045553137527101</v>
      </c>
      <c r="T19" s="13">
        <f t="shared" si="9"/>
        <v>3.3958464009151796E-6</v>
      </c>
      <c r="U19" s="13">
        <f t="shared" si="10"/>
        <v>7.354307264655204E-9</v>
      </c>
      <c r="V19" s="13">
        <f>$B$45*1.34066/$B$41</f>
        <v>0.27532486214436441</v>
      </c>
      <c r="W19" s="13">
        <f>V19*SQRT((U19/T19)^2+(U20/T20)^2+(U21/T21)^2+(U22/T22)^2+(U23/T23)^2+(U24/T24)^2+(U25/T25)^2+(U26/T26)^2+(U27/T27)^2+(U28/T28)^2+(U29/T29)^2+(U30/T30)^2+(U31/T31)^2+(U32/T32)^2+(U33/T33)^2+$D$42/($B$41^2))</f>
        <v>2.3974405701219208E-3</v>
      </c>
      <c r="X19" s="13">
        <f>-8033*LN(V19)</f>
        <v>10360.992010595777</v>
      </c>
      <c r="Y19" s="13">
        <f>-8033*W19/V19</f>
        <v>-69.948786861432339</v>
      </c>
    </row>
    <row r="20" spans="1:25" s="13" customFormat="1" x14ac:dyDescent="0.45">
      <c r="A20" s="4" t="s">
        <v>8</v>
      </c>
      <c r="B20" s="4" t="s">
        <v>11</v>
      </c>
      <c r="C20" s="5">
        <v>121517</v>
      </c>
      <c r="D20" s="6">
        <v>19.016526102222436</v>
      </c>
      <c r="E20" s="6">
        <f t="shared" si="0"/>
        <v>35562206549.910423</v>
      </c>
      <c r="F20" s="7">
        <v>204.02003774862055</v>
      </c>
      <c r="G20" s="7">
        <f t="shared" si="1"/>
        <v>381531447.10742086</v>
      </c>
      <c r="H20" s="8">
        <v>0.83146634099223493</v>
      </c>
      <c r="I20" s="8">
        <f t="shared" si="2"/>
        <v>1554899.0177658396</v>
      </c>
      <c r="J20" s="8">
        <v>3337.9511149999998</v>
      </c>
      <c r="K20" s="8">
        <f t="shared" si="3"/>
        <v>118704907005133.8</v>
      </c>
      <c r="L20" s="9">
        <v>17</v>
      </c>
      <c r="M20" s="8">
        <v>993</v>
      </c>
      <c r="O20" s="13">
        <f t="shared" si="4"/>
        <v>3.4170264387125352E-6</v>
      </c>
      <c r="P20" s="13">
        <f t="shared" si="5"/>
        <v>9.8023412936201663E-9</v>
      </c>
      <c r="Q20" s="13">
        <f t="shared" si="6"/>
        <v>3.3970904082018462E-6</v>
      </c>
      <c r="R20" s="13">
        <f t="shared" si="7"/>
        <v>9.8181884776955458E-9</v>
      </c>
      <c r="S20" s="13">
        <f t="shared" si="8"/>
        <v>-28.00523821471279</v>
      </c>
      <c r="T20" s="13">
        <f t="shared" si="9"/>
        <v>3.4181293039672346E-6</v>
      </c>
      <c r="U20" s="13">
        <f t="shared" si="10"/>
        <v>9.8789945850303555E-9</v>
      </c>
    </row>
    <row r="21" spans="1:25" s="13" customFormat="1" x14ac:dyDescent="0.45">
      <c r="A21" s="4" t="s">
        <v>8</v>
      </c>
      <c r="B21" s="4" t="s">
        <v>11</v>
      </c>
      <c r="C21" s="5">
        <v>216888</v>
      </c>
      <c r="D21" s="6">
        <v>34.26121680964981</v>
      </c>
      <c r="E21" s="6">
        <f t="shared" si="0"/>
        <v>64075774720.494164</v>
      </c>
      <c r="F21" s="7">
        <v>368.65949537855892</v>
      </c>
      <c r="G21" s="7">
        <f t="shared" si="1"/>
        <v>689471798.55545378</v>
      </c>
      <c r="H21" s="8">
        <v>1.2749364685753422</v>
      </c>
      <c r="I21" s="8">
        <f t="shared" si="2"/>
        <v>2384402.8190022423</v>
      </c>
      <c r="J21" s="8">
        <v>3337.6931360000003</v>
      </c>
      <c r="K21" s="8">
        <f t="shared" si="3"/>
        <v>213865273468475.72</v>
      </c>
      <c r="L21" s="9">
        <v>17</v>
      </c>
      <c r="M21" s="8">
        <v>909</v>
      </c>
      <c r="O21" s="13">
        <f t="shared" si="4"/>
        <v>3.3848673846877419E-6</v>
      </c>
      <c r="P21" s="13">
        <f t="shared" si="5"/>
        <v>7.2681502425615337E-9</v>
      </c>
      <c r="Q21" s="13">
        <f t="shared" si="6"/>
        <v>3.364931354177053E-6</v>
      </c>
      <c r="R21" s="13">
        <f t="shared" si="7"/>
        <v>7.2895087691414284E-9</v>
      </c>
      <c r="S21" s="13">
        <f t="shared" si="8"/>
        <v>-25.133995657930619</v>
      </c>
      <c r="T21" s="13">
        <f t="shared" si="9"/>
        <v>3.3658564396265705E-6</v>
      </c>
      <c r="U21" s="13">
        <f t="shared" si="10"/>
        <v>7.2915127976896161E-9</v>
      </c>
    </row>
    <row r="22" spans="1:25" s="13" customFormat="1" x14ac:dyDescent="0.45">
      <c r="A22" s="4" t="s">
        <v>8</v>
      </c>
      <c r="B22" s="4" t="s">
        <v>11</v>
      </c>
      <c r="C22" s="5">
        <v>214102</v>
      </c>
      <c r="D22" s="6">
        <v>33.814274523765086</v>
      </c>
      <c r="E22" s="6">
        <f t="shared" si="0"/>
        <v>63241866194.493027</v>
      </c>
      <c r="F22" s="7">
        <v>363.74973125019346</v>
      </c>
      <c r="G22" s="7">
        <f t="shared" si="1"/>
        <v>680310672.22335052</v>
      </c>
      <c r="H22" s="8">
        <v>1.2683118283946786</v>
      </c>
      <c r="I22" s="8">
        <f t="shared" si="2"/>
        <v>2372087.1754281237</v>
      </c>
      <c r="J22" s="8">
        <v>3337.5892310000004</v>
      </c>
      <c r="K22" s="8">
        <f t="shared" si="3"/>
        <v>211075371559082.91</v>
      </c>
      <c r="L22" s="9">
        <v>17</v>
      </c>
      <c r="M22" s="8">
        <v>953</v>
      </c>
      <c r="O22" s="13">
        <f t="shared" si="4"/>
        <v>3.3854472184858384E-6</v>
      </c>
      <c r="P22" s="13">
        <f t="shared" si="5"/>
        <v>7.3165388859007335E-9</v>
      </c>
      <c r="Q22" s="13">
        <f t="shared" si="6"/>
        <v>3.3655111879751495E-6</v>
      </c>
      <c r="R22" s="13">
        <f t="shared" si="7"/>
        <v>7.3377565655886987E-9</v>
      </c>
      <c r="S22" s="13">
        <f t="shared" si="8"/>
        <v>-25.40340062047197</v>
      </c>
      <c r="T22" s="13">
        <f t="shared" si="9"/>
        <v>3.3682978389409553E-6</v>
      </c>
      <c r="U22" s="13">
        <f t="shared" si="10"/>
        <v>7.343832244817877E-9</v>
      </c>
    </row>
    <row r="23" spans="1:25" s="13" customFormat="1" x14ac:dyDescent="0.45">
      <c r="A23" s="4" t="s">
        <v>8</v>
      </c>
      <c r="B23" s="4" t="s">
        <v>11</v>
      </c>
      <c r="C23" s="5">
        <v>218738</v>
      </c>
      <c r="D23" s="6">
        <v>34.523065768561445</v>
      </c>
      <c r="E23" s="6">
        <f t="shared" si="0"/>
        <v>64566588733.390984</v>
      </c>
      <c r="F23" s="7">
        <v>371.52614323437251</v>
      </c>
      <c r="G23" s="7">
        <f t="shared" si="1"/>
        <v>694844885.87226117</v>
      </c>
      <c r="H23" s="8">
        <v>1.4741741307759615</v>
      </c>
      <c r="I23" s="8">
        <f t="shared" si="2"/>
        <v>2757066.6945197508</v>
      </c>
      <c r="J23" s="8">
        <v>3337.6362379999996</v>
      </c>
      <c r="K23" s="8">
        <f t="shared" si="3"/>
        <v>215499786320608.25</v>
      </c>
      <c r="L23" s="9">
        <v>17</v>
      </c>
      <c r="M23" s="8">
        <v>995</v>
      </c>
      <c r="O23" s="13">
        <f t="shared" si="4"/>
        <v>3.3877893240297264E-6</v>
      </c>
      <c r="P23" s="13">
        <f t="shared" si="5"/>
        <v>7.2435969408636412E-9</v>
      </c>
      <c r="Q23" s="13">
        <f t="shared" si="6"/>
        <v>3.3678532935190375E-6</v>
      </c>
      <c r="R23" s="13">
        <f t="shared" si="7"/>
        <v>7.2650276522964186E-9</v>
      </c>
      <c r="S23" s="13">
        <f t="shared" si="8"/>
        <v>-25.005180001620552</v>
      </c>
      <c r="T23" s="13">
        <f t="shared" si="9"/>
        <v>3.3678890794155428E-6</v>
      </c>
      <c r="U23" s="13">
        <f t="shared" si="10"/>
        <v>7.2651048485116378E-9</v>
      </c>
    </row>
    <row r="24" spans="1:25" s="13" customFormat="1" x14ac:dyDescent="0.45">
      <c r="A24" s="4" t="s">
        <v>8</v>
      </c>
      <c r="B24" s="4" t="s">
        <v>11</v>
      </c>
      <c r="C24" s="5">
        <v>192985</v>
      </c>
      <c r="D24" s="6">
        <v>30.450251861933406</v>
      </c>
      <c r="E24" s="6">
        <f t="shared" si="0"/>
        <v>56946262867.529327</v>
      </c>
      <c r="F24" s="7">
        <v>327.17072939984644</v>
      </c>
      <c r="G24" s="7">
        <f t="shared" si="1"/>
        <v>611855377.86162663</v>
      </c>
      <c r="H24" s="8">
        <v>0.8962824754932931</v>
      </c>
      <c r="I24" s="8">
        <f t="shared" si="2"/>
        <v>1676174.5579125159</v>
      </c>
      <c r="J24" s="8">
        <v>3337.8218160000006</v>
      </c>
      <c r="K24" s="8">
        <f t="shared" si="3"/>
        <v>190076478538910.12</v>
      </c>
      <c r="L24" s="9">
        <v>17</v>
      </c>
      <c r="M24" s="8">
        <v>711</v>
      </c>
      <c r="O24" s="13">
        <f t="shared" si="4"/>
        <v>3.3888966594511989E-6</v>
      </c>
      <c r="P24" s="13">
        <f t="shared" si="5"/>
        <v>7.7143004360174244E-9</v>
      </c>
      <c r="Q24" s="13">
        <f t="shared" si="6"/>
        <v>3.36896062894051E-6</v>
      </c>
      <c r="R24" s="13">
        <f t="shared" si="7"/>
        <v>7.7344270223515025E-9</v>
      </c>
      <c r="S24" s="13">
        <f t="shared" si="8"/>
        <v>-26.56750923544482</v>
      </c>
      <c r="T24" s="13">
        <f t="shared" si="9"/>
        <v>3.3798193763589436E-6</v>
      </c>
      <c r="U24" s="13">
        <f t="shared" si="10"/>
        <v>7.7593564289882415E-9</v>
      </c>
    </row>
    <row r="25" spans="1:25" s="13" customFormat="1" x14ac:dyDescent="0.45">
      <c r="A25" s="4" t="s">
        <v>8</v>
      </c>
      <c r="B25" s="4" t="s">
        <v>11</v>
      </c>
      <c r="C25" s="5">
        <v>208659</v>
      </c>
      <c r="D25" s="6">
        <v>33.00967621700746</v>
      </c>
      <c r="E25" s="6">
        <f t="shared" si="0"/>
        <v>61736957293.653381</v>
      </c>
      <c r="F25" s="7">
        <v>355.11769987320997</v>
      </c>
      <c r="G25" s="7">
        <f t="shared" si="1"/>
        <v>664165444.31287146</v>
      </c>
      <c r="H25" s="8">
        <v>1.1483327142916282</v>
      </c>
      <c r="I25" s="8">
        <f t="shared" si="2"/>
        <v>2147690.4915716974</v>
      </c>
      <c r="J25" s="8">
        <v>3337.5941939999998</v>
      </c>
      <c r="K25" s="8">
        <f t="shared" si="3"/>
        <v>206052910218523.47</v>
      </c>
      <c r="L25" s="9">
        <v>17</v>
      </c>
      <c r="M25" s="8">
        <v>824</v>
      </c>
      <c r="O25" s="13">
        <f t="shared" si="4"/>
        <v>3.3798069932003331E-6</v>
      </c>
      <c r="P25" s="13">
        <f t="shared" si="5"/>
        <v>7.399005316458922E-9</v>
      </c>
      <c r="Q25" s="13">
        <f t="shared" si="6"/>
        <v>3.3598709626896442E-6</v>
      </c>
      <c r="R25" s="13">
        <f t="shared" si="7"/>
        <v>7.4199871846203281E-9</v>
      </c>
      <c r="S25" s="13">
        <f t="shared" si="8"/>
        <v>-25.339559382392629</v>
      </c>
      <c r="T25" s="13">
        <f t="shared" si="9"/>
        <v>3.3622124436707083E-6</v>
      </c>
      <c r="U25" s="13">
        <f t="shared" si="10"/>
        <v>7.4251581447748873E-9</v>
      </c>
    </row>
    <row r="26" spans="1:25" s="13" customFormat="1" x14ac:dyDescent="0.45">
      <c r="A26" s="4" t="s">
        <v>8</v>
      </c>
      <c r="B26" s="4" t="s">
        <v>11</v>
      </c>
      <c r="C26" s="5">
        <v>220425</v>
      </c>
      <c r="D26" s="6">
        <v>34.583848655866909</v>
      </c>
      <c r="E26" s="6">
        <f t="shared" si="0"/>
        <v>64683098463.433495</v>
      </c>
      <c r="F26" s="7">
        <v>372.36397345407664</v>
      </c>
      <c r="G26" s="7">
        <f t="shared" si="1"/>
        <v>696442313.25536454</v>
      </c>
      <c r="H26" s="8">
        <v>1.4068941824690617</v>
      </c>
      <c r="I26" s="8">
        <f t="shared" si="2"/>
        <v>2631351.8728876407</v>
      </c>
      <c r="J26" s="8">
        <v>3337.4901670000008</v>
      </c>
      <c r="K26" s="8">
        <f t="shared" si="3"/>
        <v>215879205092802.16</v>
      </c>
      <c r="L26" s="9">
        <v>17</v>
      </c>
      <c r="M26" s="8">
        <v>991</v>
      </c>
      <c r="O26" s="13">
        <f t="shared" si="4"/>
        <v>3.4077681069129702E-6</v>
      </c>
      <c r="P26" s="13">
        <f t="shared" si="5"/>
        <v>7.2583784646279648E-9</v>
      </c>
      <c r="Q26" s="13">
        <f t="shared" si="6"/>
        <v>3.3878320764022812E-6</v>
      </c>
      <c r="R26" s="13">
        <f t="shared" si="7"/>
        <v>7.2797656612501967E-9</v>
      </c>
      <c r="S26" s="13">
        <f t="shared" si="8"/>
        <v>-24.523932690796336</v>
      </c>
      <c r="T26" s="13">
        <f t="shared" si="9"/>
        <v>3.3845261161768057E-6</v>
      </c>
      <c r="U26" s="13">
        <f t="shared" si="10"/>
        <v>7.2726618216311938E-9</v>
      </c>
    </row>
    <row r="27" spans="1:25" s="13" customFormat="1" x14ac:dyDescent="0.45">
      <c r="A27" s="4" t="s">
        <v>8</v>
      </c>
      <c r="B27" s="4" t="s">
        <v>11</v>
      </c>
      <c r="C27" s="5">
        <v>215994</v>
      </c>
      <c r="D27" s="6">
        <v>33.967340797126589</v>
      </c>
      <c r="E27" s="6">
        <f t="shared" si="0"/>
        <v>63539362846.99704</v>
      </c>
      <c r="F27" s="7">
        <v>365.22146400828154</v>
      </c>
      <c r="G27" s="7">
        <f t="shared" si="1"/>
        <v>683183863.57452929</v>
      </c>
      <c r="H27" s="8">
        <v>1.4296924419508614</v>
      </c>
      <c r="I27" s="8">
        <f t="shared" si="2"/>
        <v>2674385.003267894</v>
      </c>
      <c r="J27" s="8">
        <v>3336.9998049999999</v>
      </c>
      <c r="K27" s="8">
        <f t="shared" si="3"/>
        <v>212030841430253.37</v>
      </c>
      <c r="L27" s="9">
        <v>17</v>
      </c>
      <c r="M27" s="8">
        <v>901</v>
      </c>
      <c r="O27" s="13">
        <f t="shared" si="4"/>
        <v>3.3993730865717705E-6</v>
      </c>
      <c r="P27" s="13">
        <f t="shared" si="5"/>
        <v>7.3143878960030258E-9</v>
      </c>
      <c r="Q27" s="13">
        <f t="shared" si="6"/>
        <v>3.3794370560610816E-6</v>
      </c>
      <c r="R27" s="13">
        <f t="shared" si="7"/>
        <v>7.3356117972625895E-9</v>
      </c>
      <c r="S27" s="13">
        <f t="shared" si="8"/>
        <v>-25.869751434058784</v>
      </c>
      <c r="T27" s="13">
        <f t="shared" si="9"/>
        <v>3.3854744055689447E-6</v>
      </c>
      <c r="U27" s="13">
        <f t="shared" si="10"/>
        <v>7.348716835628268E-9</v>
      </c>
    </row>
    <row r="28" spans="1:25" s="13" customFormat="1" x14ac:dyDescent="0.45">
      <c r="A28" s="4" t="s">
        <v>8</v>
      </c>
      <c r="B28" s="4" t="s">
        <v>11</v>
      </c>
      <c r="C28" s="5">
        <v>217432</v>
      </c>
      <c r="D28" s="6">
        <v>34.215320261399583</v>
      </c>
      <c r="E28" s="6">
        <f t="shared" si="0"/>
        <v>63993127419.107872</v>
      </c>
      <c r="F28" s="7">
        <v>368.07231282700297</v>
      </c>
      <c r="G28" s="7">
        <f t="shared" si="1"/>
        <v>688407948.08391643</v>
      </c>
      <c r="H28" s="8">
        <v>1.2969727141121878</v>
      </c>
      <c r="I28" s="8">
        <f t="shared" si="2"/>
        <v>2425736.1766366935</v>
      </c>
      <c r="J28" s="8">
        <v>3337.5268059999994</v>
      </c>
      <c r="K28" s="8">
        <f t="shared" si="3"/>
        <v>213578778161046.09</v>
      </c>
      <c r="L28" s="9">
        <v>17</v>
      </c>
      <c r="M28" s="8">
        <v>998</v>
      </c>
      <c r="O28" s="13">
        <f t="shared" si="4"/>
        <v>3.3977398631571868E-6</v>
      </c>
      <c r="P28" s="13">
        <f t="shared" si="5"/>
        <v>7.2866581476643352E-9</v>
      </c>
      <c r="Q28" s="13">
        <f t="shared" si="6"/>
        <v>3.3778038326464979E-6</v>
      </c>
      <c r="R28" s="13">
        <f t="shared" si="7"/>
        <v>7.3079625825441627E-9</v>
      </c>
      <c r="S28" s="13">
        <f t="shared" si="8"/>
        <v>-25.381108068494807</v>
      </c>
      <c r="T28" s="13">
        <f t="shared" si="9"/>
        <v>3.3804460141084669E-6</v>
      </c>
      <c r="U28" s="13">
        <f t="shared" si="10"/>
        <v>7.3136790078361644E-9</v>
      </c>
    </row>
    <row r="29" spans="1:25" s="13" customFormat="1" x14ac:dyDescent="0.45">
      <c r="A29" s="4" t="s">
        <v>8</v>
      </c>
      <c r="B29" s="4" t="s">
        <v>11</v>
      </c>
      <c r="C29" s="5">
        <v>212818</v>
      </c>
      <c r="D29" s="6">
        <v>33.354791576417838</v>
      </c>
      <c r="E29" s="6">
        <f t="shared" si="0"/>
        <v>62381468046.244194</v>
      </c>
      <c r="F29" s="7">
        <v>358.93058154275275</v>
      </c>
      <c r="G29" s="7">
        <f t="shared" si="1"/>
        <v>671286359.323542</v>
      </c>
      <c r="H29" s="8">
        <v>1.3573676776660208</v>
      </c>
      <c r="I29" s="8">
        <f t="shared" si="2"/>
        <v>2538603.4332528505</v>
      </c>
      <c r="J29" s="8">
        <v>3337.6448949999999</v>
      </c>
      <c r="K29" s="8">
        <f t="shared" si="3"/>
        <v>208207188367152.56</v>
      </c>
      <c r="L29" s="9">
        <v>17</v>
      </c>
      <c r="M29" s="8">
        <v>995</v>
      </c>
      <c r="O29" s="13">
        <f t="shared" si="4"/>
        <v>3.4115580582719736E-6</v>
      </c>
      <c r="P29" s="13">
        <f t="shared" si="5"/>
        <v>7.3951772505034615E-9</v>
      </c>
      <c r="Q29" s="13">
        <f t="shared" si="6"/>
        <v>3.3916220277612847E-6</v>
      </c>
      <c r="R29" s="13">
        <f t="shared" si="7"/>
        <v>7.416169949057697E-9</v>
      </c>
      <c r="S29" s="13">
        <f t="shared" si="8"/>
        <v>-25.067571840964643</v>
      </c>
      <c r="T29" s="13">
        <f t="shared" si="9"/>
        <v>3.3920921856506636E-6</v>
      </c>
      <c r="U29" s="13">
        <f t="shared" si="10"/>
        <v>7.4171980031220896E-9</v>
      </c>
    </row>
    <row r="30" spans="1:25" s="13" customFormat="1" x14ac:dyDescent="0.45">
      <c r="A30" s="4" t="s">
        <v>8</v>
      </c>
      <c r="B30" s="4" t="s">
        <v>11</v>
      </c>
      <c r="C30" s="5">
        <v>213496</v>
      </c>
      <c r="D30" s="6">
        <v>33.625523593594416</v>
      </c>
      <c r="E30" s="6">
        <f t="shared" si="0"/>
        <v>62889080896.732643</v>
      </c>
      <c r="F30" s="7">
        <v>361.59548282104254</v>
      </c>
      <c r="G30" s="7">
        <f t="shared" si="1"/>
        <v>676284118.15593672</v>
      </c>
      <c r="H30" s="8">
        <v>1.3093252313703834</v>
      </c>
      <c r="I30" s="8">
        <f t="shared" si="2"/>
        <v>2448802.3262029216</v>
      </c>
      <c r="J30" s="8">
        <v>3337.5770170000001</v>
      </c>
      <c r="K30" s="8">
        <f t="shared" si="3"/>
        <v>209897151021188.62</v>
      </c>
      <c r="L30" s="9">
        <v>17</v>
      </c>
      <c r="M30" s="8">
        <v>997</v>
      </c>
      <c r="O30" s="13">
        <f t="shared" si="4"/>
        <v>3.3948023560810544E-6</v>
      </c>
      <c r="P30" s="13">
        <f t="shared" si="5"/>
        <v>7.3471621311784067E-9</v>
      </c>
      <c r="Q30" s="13">
        <f t="shared" si="6"/>
        <v>3.3748663255703655E-6</v>
      </c>
      <c r="R30" s="13">
        <f t="shared" si="7"/>
        <v>7.3682916289167417E-9</v>
      </c>
      <c r="S30" s="13">
        <f t="shared" si="8"/>
        <v>-25.736963774751874</v>
      </c>
      <c r="T30" s="13">
        <f t="shared" si="9"/>
        <v>3.379973970663392E-6</v>
      </c>
      <c r="U30" s="13">
        <f t="shared" si="10"/>
        <v>7.3794430686929716E-9</v>
      </c>
    </row>
    <row r="31" spans="1:25" s="13" customFormat="1" x14ac:dyDescent="0.45">
      <c r="A31" s="4" t="s">
        <v>8</v>
      </c>
      <c r="B31" s="4" t="s">
        <v>11</v>
      </c>
      <c r="C31" s="5">
        <v>231028</v>
      </c>
      <c r="D31" s="6">
        <v>36.149841174807705</v>
      </c>
      <c r="E31" s="6">
        <f t="shared" si="0"/>
        <v>67606168442.890999</v>
      </c>
      <c r="F31" s="7">
        <v>389.49258380785011</v>
      </c>
      <c r="G31" s="7">
        <f t="shared" si="1"/>
        <v>728415405.77834713</v>
      </c>
      <c r="H31" s="8">
        <v>1.3337535521062136</v>
      </c>
      <c r="I31" s="8">
        <f t="shared" si="2"/>
        <v>2494339.2384206387</v>
      </c>
      <c r="J31" s="8">
        <v>3337.7788519999999</v>
      </c>
      <c r="K31" s="8">
        <f t="shared" si="3"/>
        <v>225654439293431.34</v>
      </c>
      <c r="L31" s="9">
        <v>17</v>
      </c>
      <c r="M31" s="8">
        <v>983</v>
      </c>
      <c r="O31" s="13">
        <f t="shared" si="4"/>
        <v>3.4172621422134938E-6</v>
      </c>
      <c r="P31" s="13">
        <f t="shared" si="5"/>
        <v>7.1096134062759885E-9</v>
      </c>
      <c r="Q31" s="13">
        <f t="shared" si="6"/>
        <v>3.3973261117028049E-6</v>
      </c>
      <c r="R31" s="13">
        <f t="shared" si="7"/>
        <v>7.1314467630097168E-9</v>
      </c>
      <c r="S31" s="13">
        <f t="shared" si="8"/>
        <v>-23.85331436736038</v>
      </c>
      <c r="T31" s="13">
        <f t="shared" si="9"/>
        <v>3.3893490792180171E-6</v>
      </c>
      <c r="U31" s="13">
        <f t="shared" si="10"/>
        <v>7.1147018934795003E-9</v>
      </c>
    </row>
    <row r="32" spans="1:25" s="13" customFormat="1" x14ac:dyDescent="0.45">
      <c r="A32" s="4" t="s">
        <v>8</v>
      </c>
      <c r="B32" s="4" t="s">
        <v>9</v>
      </c>
      <c r="C32" s="5">
        <v>198875</v>
      </c>
      <c r="D32" s="6">
        <v>31.01234459227512</v>
      </c>
      <c r="E32" s="6">
        <f t="shared" si="0"/>
        <v>57999782651.464211</v>
      </c>
      <c r="F32" s="7">
        <v>333.3975411600851</v>
      </c>
      <c r="G32" s="7">
        <f t="shared" si="1"/>
        <v>623525411.51094365</v>
      </c>
      <c r="H32" s="8">
        <v>0.95901941839174776</v>
      </c>
      <c r="I32" s="8">
        <f t="shared" si="2"/>
        <v>1793573.448139427</v>
      </c>
      <c r="J32" s="8">
        <v>3337.687891</v>
      </c>
      <c r="K32" s="8">
        <f t="shared" si="3"/>
        <v>193585172236423.97</v>
      </c>
      <c r="L32" s="9">
        <v>17</v>
      </c>
      <c r="M32" s="8">
        <v>639</v>
      </c>
      <c r="O32" s="13">
        <f t="shared" si="4"/>
        <v>3.4288921597360398E-6</v>
      </c>
      <c r="P32" s="13">
        <f t="shared" si="5"/>
        <v>7.6888914599137476E-9</v>
      </c>
      <c r="Q32" s="13">
        <f t="shared" si="6"/>
        <v>3.4089561292253509E-6</v>
      </c>
      <c r="R32" s="13">
        <f t="shared" si="7"/>
        <v>7.7090843833283503E-9</v>
      </c>
      <c r="S32" s="13">
        <f t="shared" si="8"/>
        <v>-26.019916387751696</v>
      </c>
      <c r="T32" s="13">
        <f t="shared" si="9"/>
        <v>3.4160993361454257E-6</v>
      </c>
      <c r="U32" s="13">
        <f t="shared" si="10"/>
        <v>7.7252381802171778E-9</v>
      </c>
    </row>
    <row r="33" spans="1:21" s="13" customFormat="1" x14ac:dyDescent="0.45">
      <c r="A33" s="4" t="s">
        <v>8</v>
      </c>
      <c r="B33" s="4" t="s">
        <v>11</v>
      </c>
      <c r="C33" s="5">
        <v>225430</v>
      </c>
      <c r="D33" s="6">
        <v>35.160391113932775</v>
      </c>
      <c r="E33" s="6">
        <f t="shared" si="0"/>
        <v>65768882247.269501</v>
      </c>
      <c r="F33" s="7">
        <v>379.46289058512542</v>
      </c>
      <c r="G33" s="7">
        <f t="shared" si="1"/>
        <v>709800129.56147516</v>
      </c>
      <c r="H33" s="8">
        <v>1.327468958803647</v>
      </c>
      <c r="I33" s="8">
        <f t="shared" si="2"/>
        <v>2483082.4365849071</v>
      </c>
      <c r="J33" s="8">
        <v>3337.1115540000001</v>
      </c>
      <c r="K33" s="8">
        <f t="shared" si="3"/>
        <v>219478096841028.53</v>
      </c>
      <c r="L33" s="9">
        <v>17</v>
      </c>
      <c r="M33" s="8">
        <v>983</v>
      </c>
      <c r="O33" s="13">
        <f t="shared" si="4"/>
        <v>3.4276088067371571E-6</v>
      </c>
      <c r="P33" s="13">
        <f t="shared" si="5"/>
        <v>7.2191388427032756E-9</v>
      </c>
      <c r="Q33" s="13">
        <f t="shared" si="6"/>
        <v>3.4076727762264682E-6</v>
      </c>
      <c r="R33" s="13">
        <f t="shared" si="7"/>
        <v>7.2406419451019461E-9</v>
      </c>
      <c r="S33" s="13">
        <f t="shared" si="8"/>
        <v>-22.227320984291033</v>
      </c>
      <c r="T33" s="13">
        <f t="shared" si="9"/>
        <v>3.388373839841042E-6</v>
      </c>
      <c r="U33" s="13">
        <f t="shared" si="10"/>
        <v>7.1996354584278037E-9</v>
      </c>
    </row>
    <row r="34" spans="1:21" x14ac:dyDescent="0.45">
      <c r="A34" t="s">
        <v>7</v>
      </c>
    </row>
    <row r="35" spans="1:21" x14ac:dyDescent="0.45">
      <c r="A35" s="10"/>
    </row>
    <row r="36" spans="1:21" x14ac:dyDescent="0.45">
      <c r="A36" s="11"/>
    </row>
    <row r="37" spans="1:21" x14ac:dyDescent="0.45">
      <c r="A37" s="12"/>
    </row>
    <row r="38" spans="1:21" ht="40.5" customHeight="1" x14ac:dyDescent="0.45">
      <c r="A38" s="3" t="s">
        <v>23</v>
      </c>
      <c r="B38">
        <f>SUM(O6*K6,O7*K7,O8*K8,O9*K9,O10*K10)/SUM(K6,K7,K8,K9,K10)</f>
        <v>1.9936030510688751E-8</v>
      </c>
    </row>
    <row r="39" spans="1:21" ht="40.5" customHeight="1" x14ac:dyDescent="0.45">
      <c r="A39" s="3" t="s">
        <v>38</v>
      </c>
      <c r="B39" s="35">
        <f>AVERAGE(P6:P10)</f>
        <v>5.5761110726249755E-10</v>
      </c>
    </row>
    <row r="40" spans="1:21" ht="40.5" customHeight="1" x14ac:dyDescent="0.45">
      <c r="A40" s="3" t="s">
        <v>27</v>
      </c>
      <c r="B40">
        <f>SUM(G13/E13*K13,G14/E14*K14,G15/E15*K15,G16/E16*K16,G17/E17*K17,G18/E18*K18)/SUM(K13,K14,K15,K16,K17,K18)</f>
        <v>1.0841207204933598E-2</v>
      </c>
    </row>
    <row r="41" spans="1:21" ht="40.5" customHeight="1" x14ac:dyDescent="0.45">
      <c r="A41" s="3" t="s">
        <v>30</v>
      </c>
      <c r="B41">
        <f>SUM(T13*K13,T14*K14,T15*K15,T16*K16,T17*K17,T18*K18)/SUM(K13,K14,K15,K16,K17,K18)</f>
        <v>1.6477171454663985E-5</v>
      </c>
    </row>
    <row r="42" spans="1:21" ht="40.5" customHeight="1" x14ac:dyDescent="0.45">
      <c r="A42" s="3" t="s">
        <v>31</v>
      </c>
      <c r="B42">
        <f>SUM(U13*K13,U14*K14,U15*K15,U16*K16,U17*K17,U18*K18)/SUM(K13,K14,K15,K16,K17,K18)</f>
        <v>1.5971683933107652E-8</v>
      </c>
      <c r="C42" s="3" t="s">
        <v>37</v>
      </c>
      <c r="D42">
        <f>(SUM(U13*K13,U14*K14,U15*K15,U16*K16,U17*K17,U18*K18)/SUM(K13,K14,K15,K16,K17,K18))^2</f>
        <v>2.550946876590891E-16</v>
      </c>
    </row>
    <row r="43" spans="1:21" ht="40.5" customHeight="1" x14ac:dyDescent="0.45">
      <c r="A43" s="3" t="s">
        <v>35</v>
      </c>
      <c r="B43">
        <f>SQRT(SUM(K13*(T13-$B$41)^2,K14*(T14-$B$41)^2,K15*(T15-$B$41)^2,K16*(T16-$B$41)^2,K17*(T17-$B$41)^2,K18*(T18-$B$41)^2)/(5*AVERAGE(K13:K18)))</f>
        <v>1.5446733053938684E-8</v>
      </c>
      <c r="C43" s="3" t="s">
        <v>36</v>
      </c>
      <c r="D43">
        <f>SUM(K13*(T13-$B$41)^2,K14*(T14-$B$41)^2,K15*(T15-$B$41)^2,K16*(T16-$B$41)^2,K17*(T17-$B$41)^2,K18*(T18-$B$41)^2)/(5*AVERAGE(K13:K18))</f>
        <v>2.3860156203964196E-16</v>
      </c>
      <c r="F43" s="3" t="s">
        <v>39</v>
      </c>
      <c r="G43">
        <f>D43/D42</f>
        <v>0.93534508393413229</v>
      </c>
    </row>
    <row r="44" spans="1:21" ht="40.5" customHeight="1" x14ac:dyDescent="0.45">
      <c r="A44" s="3" t="s">
        <v>45</v>
      </c>
      <c r="B44">
        <f>SUM(T11*K11,T12*K12)/SUM(K11,K12)</f>
        <v>3.1495660868276752E-6</v>
      </c>
    </row>
    <row r="45" spans="1:21" ht="40.5" customHeight="1" x14ac:dyDescent="0.45">
      <c r="A45" s="3" t="s">
        <v>33</v>
      </c>
      <c r="B45">
        <f>SUM(T19*K19,T20*K20,T21*K21,T22*K22,T23*K23,T24*K24,T25*K25,T26*K26,T27*K27,T28*K28,T29*K29,T30*K30,T31*K31,T32*K32,T33*K33)/SUM(K19:K33)</f>
        <v>3.3838370349562299E-6</v>
      </c>
    </row>
    <row r="46" spans="1:21" ht="40.5" customHeight="1" x14ac:dyDescent="0.45"/>
    <row r="47" spans="1:21" ht="40.5" customHeight="1" x14ac:dyDescent="0.45"/>
    <row r="48" spans="1:21" ht="40.5" customHeight="1" x14ac:dyDescent="0.4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C171215AS1</vt:lpstr>
    </vt:vector>
  </TitlesOfParts>
  <Company>ETH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Jennifer</cp:lastModifiedBy>
  <dcterms:created xsi:type="dcterms:W3CDTF">2017-12-19T08:07:50Z</dcterms:created>
  <dcterms:modified xsi:type="dcterms:W3CDTF">2019-05-23T06:32:27Z</dcterms:modified>
</cp:coreProperties>
</file>