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3040" windowHeight="9960"/>
  </bookViews>
  <sheets>
    <sheet name="Input" sheetId="1" r:id="rId1"/>
    <sheet name="Compressor" sheetId="2" r:id="rId2"/>
    <sheet name="Warmtetoevoer" sheetId="3" r:id="rId3"/>
    <sheet name="Turbine" sheetId="4" r:id="rId4"/>
    <sheet name="Koeling" sheetId="5" r:id="rId5"/>
    <sheet name="Variables" sheetId="6" r:id="rId6"/>
  </sheets>
  <definedNames>
    <definedName name="A_1">Input!$B$15</definedName>
    <definedName name="A_2">Input!$B$17</definedName>
    <definedName name="A_3">Input!$B$20</definedName>
    <definedName name="A_4">Input!$B$22</definedName>
    <definedName name="bar_to_Pa">Variables!$B$3</definedName>
    <definedName name="c_1">Compressor!$B$8</definedName>
    <definedName name="c_2">Compressor!$B$9</definedName>
    <definedName name="c_3">Warmtetoevoer!$B$6</definedName>
    <definedName name="c_4">Turbine!$B$5</definedName>
    <definedName name="c_p">Input!$B$9</definedName>
    <definedName name="c_V">Input!$B$10</definedName>
    <definedName name="from_kilo">Variables!$B$2</definedName>
    <definedName name="K">Variables!$B$8</definedName>
    <definedName name="Kelvin">Input!$B$7</definedName>
    <definedName name="m_flux">Compressor!$B$3</definedName>
    <definedName name="p_2_bar">Input!$B$16</definedName>
    <definedName name="p_2_si">Variables!$B$11</definedName>
    <definedName name="p_atm_bar">Input!$B$12</definedName>
    <definedName name="p_atm_pa">Variables!$B$4</definedName>
    <definedName name="p_atm_si">Variables!$B$4</definedName>
    <definedName name="q_2_3">Warmtetoevoer!$B$2</definedName>
    <definedName name="q_4_1">Koeling!$B$3</definedName>
    <definedName name="Q_in">Input!$B$19</definedName>
    <definedName name="Q_in_si">Variables!$B$5</definedName>
    <definedName name="Q_in_Watt">Variables!$B$5</definedName>
    <definedName name="rho_1">Variables!$B$10</definedName>
    <definedName name="rho_2">Variables!$B$12</definedName>
    <definedName name="rho_3">Variables!$B$14</definedName>
    <definedName name="rho_4">Variables!$B$16</definedName>
    <definedName name="Rs">Variables!$B$7</definedName>
    <definedName name="T_1">Compressor!$B$2</definedName>
    <definedName name="T_1_Celcius">Input!$B$14</definedName>
    <definedName name="T_1_si">Variables!$B$9</definedName>
    <definedName name="T_2">Compressor!$B$6</definedName>
    <definedName name="T_3">Warmtetoevoer!$B$3</definedName>
    <definedName name="T_4">Turbine!$B$3</definedName>
    <definedName name="to_kilo">Variables!$B$1</definedName>
    <definedName name="V_flux_1">Input!$B$13</definedName>
    <definedName name="V_flux_1_si">Variables!$B$6</definedName>
    <definedName name="V_flux_2">Variables!$B$13</definedName>
    <definedName name="V_flux_3">Variables!$B$15</definedName>
    <definedName name="V_flux_4">Variables!$B$17</definedName>
    <definedName name="v_spec_1">Compressor!$B$4</definedName>
    <definedName name="v_spec_2">Compressor!$B$5</definedName>
    <definedName name="v_spec_3">Warmtetoevoer!$B$4</definedName>
    <definedName name="v_spec_4">Turbine!$B$2</definedName>
    <definedName name="W_1_2">Compressor!$B$7</definedName>
    <definedName name="W_2_3">Warmtetoevoer!$B$5</definedName>
    <definedName name="W_3_4">Turbine!$B$4</definedName>
    <definedName name="W_4_1">Koeling!$B$2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5" l="1"/>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3" i="5"/>
  <c r="F3" i="2"/>
  <c r="B1" i="6"/>
  <c r="B11" i="6"/>
  <c r="F6" i="3" s="1"/>
  <c r="B9" i="6"/>
  <c r="B2" i="2" s="1"/>
  <c r="B8" i="6"/>
  <c r="B7" i="6"/>
  <c r="B6" i="6"/>
  <c r="B5" i="6"/>
  <c r="B4" i="6"/>
  <c r="F85" i="3" l="1"/>
  <c r="F61" i="3"/>
  <c r="F53" i="3"/>
  <c r="F29" i="3"/>
  <c r="F21" i="3"/>
  <c r="F100" i="3"/>
  <c r="F76" i="3"/>
  <c r="F52" i="3"/>
  <c r="F36" i="3"/>
  <c r="F12" i="3"/>
  <c r="F83" i="3"/>
  <c r="F75" i="3"/>
  <c r="F51" i="3"/>
  <c r="F27" i="3"/>
  <c r="F3" i="4"/>
  <c r="F98" i="3"/>
  <c r="F90" i="3"/>
  <c r="F82" i="3"/>
  <c r="F74" i="3"/>
  <c r="F66" i="3"/>
  <c r="F58" i="3"/>
  <c r="F50" i="3"/>
  <c r="F42" i="3"/>
  <c r="F34" i="3"/>
  <c r="F26" i="3"/>
  <c r="F18" i="3"/>
  <c r="F10" i="3"/>
  <c r="F97" i="3"/>
  <c r="F89" i="3"/>
  <c r="F81" i="3"/>
  <c r="F73" i="3"/>
  <c r="F65" i="3"/>
  <c r="F57" i="3"/>
  <c r="F49" i="3"/>
  <c r="F41" i="3"/>
  <c r="F33" i="3"/>
  <c r="F25" i="3"/>
  <c r="F17" i="3"/>
  <c r="F9" i="3"/>
  <c r="F101" i="3"/>
  <c r="F77" i="3"/>
  <c r="F45" i="3"/>
  <c r="F13" i="3"/>
  <c r="F92" i="3"/>
  <c r="F68" i="3"/>
  <c r="F44" i="3"/>
  <c r="F20" i="3"/>
  <c r="F91" i="3"/>
  <c r="F59" i="3"/>
  <c r="F35" i="3"/>
  <c r="F19" i="3"/>
  <c r="F96" i="3"/>
  <c r="F80" i="3"/>
  <c r="F72" i="3"/>
  <c r="F64" i="3"/>
  <c r="F56" i="3"/>
  <c r="F48" i="3"/>
  <c r="F40" i="3"/>
  <c r="F32" i="3"/>
  <c r="F24" i="3"/>
  <c r="F16" i="3"/>
  <c r="F8" i="3"/>
  <c r="F103" i="3"/>
  <c r="F95" i="3"/>
  <c r="F87" i="3"/>
  <c r="F79" i="3"/>
  <c r="F71" i="3"/>
  <c r="F63" i="3"/>
  <c r="F55" i="3"/>
  <c r="F47" i="3"/>
  <c r="F39" i="3"/>
  <c r="F31" i="3"/>
  <c r="F23" i="3"/>
  <c r="F15" i="3"/>
  <c r="F7" i="3"/>
  <c r="F93" i="3"/>
  <c r="F69" i="3"/>
  <c r="F37" i="3"/>
  <c r="F5" i="3"/>
  <c r="F84" i="3"/>
  <c r="F60" i="3"/>
  <c r="F28" i="3"/>
  <c r="F4" i="3"/>
  <c r="F99" i="3"/>
  <c r="F67" i="3"/>
  <c r="F43" i="3"/>
  <c r="F11" i="3"/>
  <c r="F3" i="3"/>
  <c r="F88" i="3"/>
  <c r="F102" i="3"/>
  <c r="F94" i="3"/>
  <c r="F86" i="3"/>
  <c r="F78" i="3"/>
  <c r="F70" i="3"/>
  <c r="F62" i="3"/>
  <c r="F54" i="3"/>
  <c r="F46" i="3"/>
  <c r="F38" i="3"/>
  <c r="F30" i="3"/>
  <c r="F22" i="3"/>
  <c r="F14" i="3"/>
  <c r="B3" i="2"/>
  <c r="B4" i="2" s="1"/>
  <c r="B6" i="2"/>
  <c r="C35" i="1" s="1"/>
  <c r="B10" i="6"/>
  <c r="B12" i="6" l="1"/>
  <c r="B9" i="2" s="1"/>
  <c r="B8" i="2"/>
  <c r="B2" i="3"/>
  <c r="B3" i="3" s="1"/>
  <c r="B5" i="3" l="1"/>
  <c r="C36" i="1"/>
  <c r="B14" i="6"/>
  <c r="B6" i="3" s="1"/>
  <c r="B3" i="4"/>
  <c r="B13" i="6"/>
  <c r="B5" i="2" s="1"/>
  <c r="B7" i="2" s="1"/>
  <c r="E35" i="1"/>
  <c r="B3" i="5" l="1"/>
  <c r="C37" i="1"/>
  <c r="C38" i="1"/>
  <c r="B16" i="6"/>
  <c r="B5" i="4" s="1"/>
  <c r="B2" i="5"/>
  <c r="B15" i="6"/>
  <c r="B4" i="3" s="1"/>
  <c r="E36" i="1"/>
  <c r="B17" i="6" l="1"/>
  <c r="B2" i="4" s="1"/>
  <c r="B4" i="4" s="1"/>
  <c r="E37" i="1"/>
  <c r="E38" i="1"/>
  <c r="E39" i="1" l="1"/>
  <c r="B36" i="1" l="1"/>
  <c r="B29" i="1"/>
  <c r="E103" i="5"/>
  <c r="E3" i="2"/>
  <c r="D28" i="1" l="1"/>
  <c r="C28" i="1" s="1"/>
  <c r="E103" i="2"/>
  <c r="F103" i="2" s="1"/>
  <c r="E3" i="3"/>
  <c r="D35" i="1" l="1"/>
  <c r="E4" i="2"/>
  <c r="F4" i="2" s="1"/>
  <c r="E5" i="2" l="1"/>
  <c r="F5" i="2" s="1"/>
  <c r="B38" i="1"/>
  <c r="B39" i="1" s="1"/>
  <c r="E3" i="5"/>
  <c r="E4" i="5" s="1"/>
  <c r="E5" i="5" s="1"/>
  <c r="E6" i="5" s="1"/>
  <c r="E7" i="5" s="1"/>
  <c r="E8" i="5" s="1"/>
  <c r="E9" i="5" s="1"/>
  <c r="E10" i="5" s="1"/>
  <c r="E11" i="5" s="1"/>
  <c r="D31" i="1" l="1"/>
  <c r="F39" i="1"/>
  <c r="B31" i="1"/>
  <c r="D30" i="1"/>
  <c r="E6" i="2"/>
  <c r="F6" i="2" s="1"/>
  <c r="E12" i="5"/>
  <c r="C31" i="1" l="1"/>
  <c r="D37" i="1"/>
  <c r="C30" i="1"/>
  <c r="D38" i="1"/>
  <c r="B32" i="1"/>
  <c r="E7" i="2"/>
  <c r="F7" i="2" s="1"/>
  <c r="E13" i="5"/>
  <c r="E8" i="2" l="1"/>
  <c r="F8" i="2" s="1"/>
  <c r="E14" i="5"/>
  <c r="E9" i="2" l="1"/>
  <c r="F9" i="2" s="1"/>
  <c r="E15" i="5"/>
  <c r="E10" i="2" l="1"/>
  <c r="F10" i="2" s="1"/>
  <c r="E16" i="5"/>
  <c r="E11" i="2" l="1"/>
  <c r="F11" i="2" s="1"/>
  <c r="E17" i="5"/>
  <c r="E12" i="2" l="1"/>
  <c r="F12" i="2" s="1"/>
  <c r="E18" i="5"/>
  <c r="E13" i="2" l="1"/>
  <c r="F13" i="2" s="1"/>
  <c r="E19" i="5"/>
  <c r="E14" i="2" l="1"/>
  <c r="F14" i="2" s="1"/>
  <c r="E20" i="5"/>
  <c r="E15" i="2" l="1"/>
  <c r="F15" i="2" s="1"/>
  <c r="E21" i="5"/>
  <c r="E16" i="2" l="1"/>
  <c r="F16" i="2" s="1"/>
  <c r="E22" i="5"/>
  <c r="E17" i="2" l="1"/>
  <c r="F17" i="2" s="1"/>
  <c r="E23" i="5"/>
  <c r="E18" i="2" l="1"/>
  <c r="F18" i="2" s="1"/>
  <c r="E24" i="5"/>
  <c r="E19" i="2" l="1"/>
  <c r="F19" i="2" s="1"/>
  <c r="E25" i="5"/>
  <c r="E20" i="2" l="1"/>
  <c r="F20" i="2" s="1"/>
  <c r="E26" i="5"/>
  <c r="E21" i="2" l="1"/>
  <c r="F21" i="2" s="1"/>
  <c r="E27" i="5"/>
  <c r="E22" i="2" l="1"/>
  <c r="F22" i="2" s="1"/>
  <c r="E28" i="5"/>
  <c r="E23" i="2" l="1"/>
  <c r="F23" i="2" s="1"/>
  <c r="E29" i="5"/>
  <c r="E24" i="2" l="1"/>
  <c r="F24" i="2" s="1"/>
  <c r="E30" i="5"/>
  <c r="E25" i="2" l="1"/>
  <c r="F25" i="2" s="1"/>
  <c r="E31" i="5"/>
  <c r="E26" i="2" l="1"/>
  <c r="F26" i="2" s="1"/>
  <c r="E32" i="5"/>
  <c r="E27" i="2" l="1"/>
  <c r="F27" i="2" s="1"/>
  <c r="E33" i="5"/>
  <c r="E28" i="2" l="1"/>
  <c r="F28" i="2" s="1"/>
  <c r="E34" i="5"/>
  <c r="E29" i="2" l="1"/>
  <c r="F29" i="2" s="1"/>
  <c r="E35" i="5"/>
  <c r="E30" i="2" l="1"/>
  <c r="F30" i="2" s="1"/>
  <c r="E36" i="5"/>
  <c r="E31" i="2" l="1"/>
  <c r="F31" i="2" s="1"/>
  <c r="E37" i="5"/>
  <c r="E32" i="2" l="1"/>
  <c r="F32" i="2" s="1"/>
  <c r="E38" i="5"/>
  <c r="E33" i="2" l="1"/>
  <c r="F33" i="2" s="1"/>
  <c r="E39" i="5"/>
  <c r="E34" i="2" l="1"/>
  <c r="F34" i="2" s="1"/>
  <c r="E40" i="5"/>
  <c r="E35" i="2" l="1"/>
  <c r="F35" i="2" s="1"/>
  <c r="E41" i="5"/>
  <c r="E36" i="2" l="1"/>
  <c r="F36" i="2" s="1"/>
  <c r="E42" i="5"/>
  <c r="E37" i="2" l="1"/>
  <c r="F37" i="2" s="1"/>
  <c r="E43" i="5"/>
  <c r="E38" i="2" l="1"/>
  <c r="F38" i="2" s="1"/>
  <c r="E44" i="5"/>
  <c r="E39" i="2" l="1"/>
  <c r="F39" i="2" s="1"/>
  <c r="E45" i="5"/>
  <c r="E40" i="2" l="1"/>
  <c r="F40" i="2" s="1"/>
  <c r="E46" i="5"/>
  <c r="E41" i="2" l="1"/>
  <c r="F41" i="2" s="1"/>
  <c r="E47" i="5"/>
  <c r="E42" i="2" l="1"/>
  <c r="F42" i="2" s="1"/>
  <c r="E48" i="5"/>
  <c r="E43" i="2" l="1"/>
  <c r="F43" i="2" s="1"/>
  <c r="E49" i="5"/>
  <c r="E44" i="2" l="1"/>
  <c r="F44" i="2" s="1"/>
  <c r="E50" i="5"/>
  <c r="E45" i="2" l="1"/>
  <c r="F45" i="2" s="1"/>
  <c r="E51" i="5"/>
  <c r="E46" i="2" l="1"/>
  <c r="F46" i="2" s="1"/>
  <c r="E52" i="5"/>
  <c r="E47" i="2" l="1"/>
  <c r="F47" i="2" s="1"/>
  <c r="E53" i="5"/>
  <c r="E48" i="2" l="1"/>
  <c r="F48" i="2" s="1"/>
  <c r="E54" i="5"/>
  <c r="E49" i="2" l="1"/>
  <c r="F49" i="2" s="1"/>
  <c r="E55" i="5"/>
  <c r="E50" i="2" l="1"/>
  <c r="F50" i="2" s="1"/>
  <c r="E56" i="5"/>
  <c r="E51" i="2" l="1"/>
  <c r="F51" i="2" s="1"/>
  <c r="E57" i="5"/>
  <c r="E52" i="2" l="1"/>
  <c r="F52" i="2" s="1"/>
  <c r="E58" i="5"/>
  <c r="E53" i="2" l="1"/>
  <c r="F53" i="2" s="1"/>
  <c r="E59" i="5"/>
  <c r="E54" i="2" l="1"/>
  <c r="F54" i="2" s="1"/>
  <c r="E60" i="5"/>
  <c r="E55" i="2" l="1"/>
  <c r="F55" i="2" s="1"/>
  <c r="E61" i="5"/>
  <c r="E56" i="2" l="1"/>
  <c r="F56" i="2" s="1"/>
  <c r="E62" i="5"/>
  <c r="E57" i="2" l="1"/>
  <c r="F57" i="2" s="1"/>
  <c r="E63" i="5"/>
  <c r="E58" i="2" l="1"/>
  <c r="F58" i="2" s="1"/>
  <c r="E64" i="5"/>
  <c r="E59" i="2" l="1"/>
  <c r="F59" i="2" s="1"/>
  <c r="E65" i="5"/>
  <c r="E60" i="2" l="1"/>
  <c r="F60" i="2" s="1"/>
  <c r="E66" i="5"/>
  <c r="E61" i="2" l="1"/>
  <c r="F61" i="2" s="1"/>
  <c r="E67" i="5"/>
  <c r="E62" i="2" l="1"/>
  <c r="F62" i="2" s="1"/>
  <c r="E68" i="5"/>
  <c r="E63" i="2" l="1"/>
  <c r="F63" i="2" s="1"/>
  <c r="E69" i="5"/>
  <c r="E64" i="2" l="1"/>
  <c r="F64" i="2" s="1"/>
  <c r="E70" i="5"/>
  <c r="E65" i="2" l="1"/>
  <c r="F65" i="2" s="1"/>
  <c r="E71" i="5"/>
  <c r="E66" i="2" l="1"/>
  <c r="F66" i="2" s="1"/>
  <c r="E72" i="5"/>
  <c r="E67" i="2" l="1"/>
  <c r="F67" i="2" s="1"/>
  <c r="E73" i="5"/>
  <c r="E68" i="2" l="1"/>
  <c r="F68" i="2" s="1"/>
  <c r="E74" i="5"/>
  <c r="E69" i="2" l="1"/>
  <c r="F69" i="2" s="1"/>
  <c r="E75" i="5"/>
  <c r="E70" i="2" l="1"/>
  <c r="F70" i="2" s="1"/>
  <c r="E76" i="5"/>
  <c r="E71" i="2" l="1"/>
  <c r="F71" i="2" s="1"/>
  <c r="E77" i="5"/>
  <c r="E72" i="2" l="1"/>
  <c r="F72" i="2" s="1"/>
  <c r="E78" i="5"/>
  <c r="E73" i="2" l="1"/>
  <c r="F73" i="2" s="1"/>
  <c r="E79" i="5"/>
  <c r="E74" i="2" l="1"/>
  <c r="F74" i="2" s="1"/>
  <c r="E80" i="5"/>
  <c r="E75" i="2" l="1"/>
  <c r="F75" i="2" s="1"/>
  <c r="E81" i="5"/>
  <c r="E76" i="2" l="1"/>
  <c r="F76" i="2" s="1"/>
  <c r="E82" i="5"/>
  <c r="E77" i="2" l="1"/>
  <c r="F77" i="2" s="1"/>
  <c r="E83" i="5"/>
  <c r="E78" i="2" l="1"/>
  <c r="F78" i="2" s="1"/>
  <c r="E84" i="5"/>
  <c r="E79" i="2" l="1"/>
  <c r="F79" i="2" s="1"/>
  <c r="E85" i="5"/>
  <c r="E80" i="2" l="1"/>
  <c r="F80" i="2" s="1"/>
  <c r="E86" i="5"/>
  <c r="E81" i="2" l="1"/>
  <c r="F81" i="2" s="1"/>
  <c r="E87" i="5"/>
  <c r="E82" i="2" l="1"/>
  <c r="F82" i="2" s="1"/>
  <c r="E88" i="5"/>
  <c r="E83" i="2" l="1"/>
  <c r="F83" i="2" s="1"/>
  <c r="E89" i="5"/>
  <c r="E84" i="2" l="1"/>
  <c r="F84" i="2" s="1"/>
  <c r="E90" i="5"/>
  <c r="E85" i="2" l="1"/>
  <c r="F85" i="2" s="1"/>
  <c r="E91" i="5"/>
  <c r="E86" i="2" l="1"/>
  <c r="F86" i="2" s="1"/>
  <c r="E92" i="5"/>
  <c r="E87" i="2" l="1"/>
  <c r="F87" i="2" s="1"/>
  <c r="E93" i="5"/>
  <c r="E88" i="2" l="1"/>
  <c r="F88" i="2" s="1"/>
  <c r="E94" i="5"/>
  <c r="E89" i="2" l="1"/>
  <c r="F89" i="2" s="1"/>
  <c r="E95" i="5"/>
  <c r="E90" i="2" l="1"/>
  <c r="F90" i="2" s="1"/>
  <c r="E96" i="5"/>
  <c r="E91" i="2" l="1"/>
  <c r="F91" i="2" s="1"/>
  <c r="E97" i="5"/>
  <c r="E92" i="2" l="1"/>
  <c r="F92" i="2" s="1"/>
  <c r="E98" i="5"/>
  <c r="E93" i="2" l="1"/>
  <c r="F93" i="2" s="1"/>
  <c r="E99" i="5"/>
  <c r="E94" i="2" l="1"/>
  <c r="F94" i="2" s="1"/>
  <c r="E100" i="5"/>
  <c r="E95" i="2" l="1"/>
  <c r="F95" i="2" s="1"/>
  <c r="E101" i="5"/>
  <c r="E96" i="2" l="1"/>
  <c r="F96" i="2" s="1"/>
  <c r="E102" i="5"/>
  <c r="E97" i="2" l="1"/>
  <c r="F97" i="2" s="1"/>
  <c r="E98" i="2" l="1"/>
  <c r="F98" i="2" s="1"/>
  <c r="E99" i="2" l="1"/>
  <c r="F99" i="2" s="1"/>
  <c r="E100" i="2" l="1"/>
  <c r="F100" i="2" s="1"/>
  <c r="E103" i="4"/>
  <c r="F103" i="4" s="1"/>
  <c r="E101" i="2" l="1"/>
  <c r="F101" i="2" s="1"/>
  <c r="E103" i="3"/>
  <c r="E4" i="3" s="1"/>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E101" i="3" s="1"/>
  <c r="E102" i="3" s="1"/>
  <c r="E3" i="4"/>
  <c r="D29" i="1"/>
  <c r="D32" i="1" l="1"/>
  <c r="C29" i="1"/>
  <c r="E102" i="2"/>
  <c r="F102" i="2" s="1"/>
  <c r="E4" i="4"/>
  <c r="F4" i="4" s="1"/>
  <c r="C32" i="1" l="1"/>
  <c r="C39" i="1"/>
  <c r="E5" i="4"/>
  <c r="F5" i="4" s="1"/>
  <c r="D36" i="1" l="1"/>
  <c r="D39" i="1" s="1"/>
  <c r="E6" i="4"/>
  <c r="F6" i="4" s="1"/>
  <c r="E7" i="4" l="1"/>
  <c r="F7" i="4" s="1"/>
  <c r="E8" i="4" l="1"/>
  <c r="F8" i="4" s="1"/>
  <c r="E9" i="4" l="1"/>
  <c r="F9" i="4" s="1"/>
  <c r="E10" i="4" l="1"/>
  <c r="F10" i="4" s="1"/>
  <c r="E11" i="4" l="1"/>
  <c r="F11" i="4" s="1"/>
  <c r="E12" i="4" l="1"/>
  <c r="F12" i="4" s="1"/>
  <c r="E13" i="4" l="1"/>
  <c r="F13" i="4" s="1"/>
  <c r="E14" i="4" l="1"/>
  <c r="F14" i="4" s="1"/>
  <c r="E15" i="4" l="1"/>
  <c r="F15" i="4" s="1"/>
  <c r="E16" i="4" l="1"/>
  <c r="F16" i="4" s="1"/>
  <c r="E17" i="4" l="1"/>
  <c r="F17" i="4" s="1"/>
  <c r="E18" i="4" l="1"/>
  <c r="F18" i="4" s="1"/>
  <c r="E19" i="4" l="1"/>
  <c r="F19" i="4" s="1"/>
  <c r="E20" i="4" l="1"/>
  <c r="F20" i="4" s="1"/>
  <c r="E21" i="4" l="1"/>
  <c r="F21" i="4" s="1"/>
  <c r="E22" i="4" l="1"/>
  <c r="F22" i="4" s="1"/>
  <c r="E23" i="4" l="1"/>
  <c r="F23" i="4" s="1"/>
  <c r="E24" i="4" l="1"/>
  <c r="F24" i="4" s="1"/>
  <c r="E25" i="4" l="1"/>
  <c r="F25" i="4" s="1"/>
  <c r="E26" i="4" l="1"/>
  <c r="F26" i="4" s="1"/>
  <c r="E27" i="4" l="1"/>
  <c r="F27" i="4" s="1"/>
  <c r="E28" i="4" l="1"/>
  <c r="F28" i="4" s="1"/>
  <c r="E29" i="4" l="1"/>
  <c r="F29" i="4" s="1"/>
  <c r="E30" i="4" l="1"/>
  <c r="F30" i="4" s="1"/>
  <c r="E31" i="4" l="1"/>
  <c r="F31" i="4" s="1"/>
  <c r="E32" i="4" l="1"/>
  <c r="F32" i="4" s="1"/>
  <c r="E33" i="4" l="1"/>
  <c r="F33" i="4" s="1"/>
  <c r="E34" i="4" l="1"/>
  <c r="F34" i="4" s="1"/>
  <c r="E35" i="4" l="1"/>
  <c r="F35" i="4" s="1"/>
  <c r="E36" i="4" l="1"/>
  <c r="F36" i="4" s="1"/>
  <c r="E37" i="4" l="1"/>
  <c r="F37" i="4" s="1"/>
  <c r="E38" i="4" l="1"/>
  <c r="F38" i="4" s="1"/>
  <c r="E39" i="4" l="1"/>
  <c r="F39" i="4" s="1"/>
  <c r="E40" i="4" l="1"/>
  <c r="F40" i="4" s="1"/>
  <c r="E41" i="4" l="1"/>
  <c r="F41" i="4" s="1"/>
  <c r="E42" i="4" l="1"/>
  <c r="F42" i="4" s="1"/>
  <c r="E43" i="4" l="1"/>
  <c r="F43" i="4" s="1"/>
  <c r="E44" i="4" l="1"/>
  <c r="F44" i="4" s="1"/>
  <c r="E45" i="4" l="1"/>
  <c r="F45" i="4" s="1"/>
  <c r="E46" i="4" l="1"/>
  <c r="F46" i="4" s="1"/>
  <c r="E47" i="4" l="1"/>
  <c r="F47" i="4" s="1"/>
  <c r="E48" i="4" l="1"/>
  <c r="F48" i="4" s="1"/>
  <c r="E49" i="4" l="1"/>
  <c r="F49" i="4" s="1"/>
  <c r="E50" i="4" l="1"/>
  <c r="F50" i="4" s="1"/>
  <c r="E51" i="4" l="1"/>
  <c r="F51" i="4" s="1"/>
  <c r="E52" i="4" l="1"/>
  <c r="F52" i="4" s="1"/>
  <c r="E53" i="4" l="1"/>
  <c r="F53" i="4" s="1"/>
  <c r="E54" i="4" l="1"/>
  <c r="F54" i="4" s="1"/>
  <c r="E55" i="4" l="1"/>
  <c r="F55" i="4" s="1"/>
  <c r="E56" i="4" l="1"/>
  <c r="F56" i="4" s="1"/>
  <c r="E57" i="4" l="1"/>
  <c r="F57" i="4" s="1"/>
  <c r="E58" i="4" l="1"/>
  <c r="F58" i="4" s="1"/>
  <c r="E59" i="4" l="1"/>
  <c r="F59" i="4" s="1"/>
  <c r="E60" i="4" l="1"/>
  <c r="F60" i="4" s="1"/>
  <c r="E61" i="4" l="1"/>
  <c r="F61" i="4" s="1"/>
  <c r="E62" i="4" l="1"/>
  <c r="F62" i="4" s="1"/>
  <c r="E63" i="4" l="1"/>
  <c r="F63" i="4" s="1"/>
  <c r="E64" i="4" l="1"/>
  <c r="F64" i="4" s="1"/>
  <c r="E65" i="4" l="1"/>
  <c r="F65" i="4" s="1"/>
  <c r="E66" i="4" l="1"/>
  <c r="F66" i="4" s="1"/>
  <c r="E67" i="4" l="1"/>
  <c r="F67" i="4" s="1"/>
  <c r="E68" i="4" l="1"/>
  <c r="F68" i="4" s="1"/>
  <c r="E69" i="4" l="1"/>
  <c r="F69" i="4" s="1"/>
  <c r="E70" i="4" l="1"/>
  <c r="F70" i="4" s="1"/>
  <c r="E71" i="4" l="1"/>
  <c r="F71" i="4" s="1"/>
  <c r="E72" i="4" l="1"/>
  <c r="F72" i="4" s="1"/>
  <c r="E73" i="4" l="1"/>
  <c r="F73" i="4" s="1"/>
  <c r="E74" i="4" l="1"/>
  <c r="F74" i="4" s="1"/>
  <c r="E75" i="4" l="1"/>
  <c r="F75" i="4" s="1"/>
  <c r="E76" i="4" l="1"/>
  <c r="F76" i="4" s="1"/>
  <c r="E77" i="4" l="1"/>
  <c r="F77" i="4" s="1"/>
  <c r="E78" i="4" l="1"/>
  <c r="F78" i="4" s="1"/>
  <c r="E79" i="4" l="1"/>
  <c r="F79" i="4" s="1"/>
  <c r="E80" i="4" l="1"/>
  <c r="F80" i="4" s="1"/>
  <c r="E81" i="4" l="1"/>
  <c r="F81" i="4" s="1"/>
  <c r="E82" i="4" l="1"/>
  <c r="F82" i="4" s="1"/>
  <c r="E83" i="4" l="1"/>
  <c r="F83" i="4" s="1"/>
  <c r="E84" i="4" l="1"/>
  <c r="F84" i="4" s="1"/>
  <c r="E85" i="4" l="1"/>
  <c r="F85" i="4" s="1"/>
  <c r="E86" i="4" l="1"/>
  <c r="F86" i="4" s="1"/>
  <c r="E87" i="4" l="1"/>
  <c r="F87" i="4" s="1"/>
  <c r="E88" i="4" l="1"/>
  <c r="F88" i="4" s="1"/>
  <c r="E89" i="4" l="1"/>
  <c r="F89" i="4" s="1"/>
  <c r="E90" i="4" l="1"/>
  <c r="F90" i="4" s="1"/>
  <c r="E91" i="4" l="1"/>
  <c r="F91" i="4" s="1"/>
  <c r="E92" i="4" l="1"/>
  <c r="F92" i="4" s="1"/>
  <c r="E93" i="4" l="1"/>
  <c r="F93" i="4" s="1"/>
  <c r="E94" i="4" l="1"/>
  <c r="F94" i="4" s="1"/>
  <c r="E95" i="4" l="1"/>
  <c r="F95" i="4" s="1"/>
  <c r="E96" i="4" l="1"/>
  <c r="F96" i="4" s="1"/>
  <c r="E97" i="4" l="1"/>
  <c r="F97" i="4" s="1"/>
  <c r="E98" i="4" l="1"/>
  <c r="F98" i="4" s="1"/>
  <c r="E99" i="4" l="1"/>
  <c r="F99" i="4" s="1"/>
  <c r="E100" i="4" l="1"/>
  <c r="F100" i="4" s="1"/>
  <c r="E101" i="4" l="1"/>
  <c r="F101" i="4" s="1"/>
  <c r="E102" i="4" l="1"/>
  <c r="F102" i="4" s="1"/>
  <c r="B24" i="1"/>
  <c r="B25" i="1" s="1"/>
</calcChain>
</file>

<file path=xl/sharedStrings.xml><?xml version="1.0" encoding="utf-8"?>
<sst xmlns="http://schemas.openxmlformats.org/spreadsheetml/2006/main" count="151" uniqueCount="94">
  <si>
    <t>bar</t>
  </si>
  <si>
    <t>m³/u</t>
  </si>
  <si>
    <t>Einddruk compressor</t>
  </si>
  <si>
    <t>J/kg.K</t>
  </si>
  <si>
    <t>Gegevens lucht (gedurende het hele proces wordt lucht als medium gebruikt):</t>
  </si>
  <si>
    <t>Tabel voor p-V diagram</t>
  </si>
  <si>
    <t>P (bar)</t>
  </si>
  <si>
    <t>kW</t>
  </si>
  <si>
    <t>Luchtdebiet ingaande zijde compressor</t>
  </si>
  <si>
    <t>Warmtetoevoer</t>
  </si>
  <si>
    <t>Temperatuur na warmtetoevoer</t>
  </si>
  <si>
    <t>°C</t>
  </si>
  <si>
    <t>Temperatuur na compressie</t>
  </si>
  <si>
    <t>Temperatuur lucht ingaande zijde compressor</t>
  </si>
  <si>
    <t>Massastroom</t>
  </si>
  <si>
    <t>kg/s</t>
  </si>
  <si>
    <t>Nul graden Celcius is</t>
  </si>
  <si>
    <t>K</t>
  </si>
  <si>
    <t>Input</t>
  </si>
  <si>
    <t>Waarde</t>
  </si>
  <si>
    <t>Eenheid</t>
  </si>
  <si>
    <t>kJ/kg</t>
  </si>
  <si>
    <t>Specifieke volumearbeid tijdens compressie</t>
  </si>
  <si>
    <t>Specifieke volumearbeid tijdens expansie</t>
  </si>
  <si>
    <t>Specifiek volume ingaand</t>
  </si>
  <si>
    <t>Specifiek volume uitgaand</t>
  </si>
  <si>
    <t>m³/kg</t>
  </si>
  <si>
    <t>v (m³/kg)</t>
  </si>
  <si>
    <t>Extra gegevens (naar eigen inzicht)</t>
  </si>
  <si>
    <t>Temperatuur voor compressie</t>
  </si>
  <si>
    <t>Specifieke volumearbeid tijdens warmtetoevoer</t>
  </si>
  <si>
    <t>Specifiek volume na warmtetoevoer</t>
  </si>
  <si>
    <t>Specifiek volume na expansie</t>
  </si>
  <si>
    <t>Gegevens compressor</t>
  </si>
  <si>
    <t>Gegevens warmtetoevoer</t>
  </si>
  <si>
    <t>Gegevens turbine</t>
  </si>
  <si>
    <t>Gegevens koeling</t>
  </si>
  <si>
    <t>Specifieke volumearbeid tijdens koeling</t>
  </si>
  <si>
    <t>Som</t>
  </si>
  <si>
    <t>Specifieke warmtetoevoer</t>
  </si>
  <si>
    <t>Specifieke warmteafvoer</t>
  </si>
  <si>
    <t>Temperatuur na expansie</t>
  </si>
  <si>
    <t>Luchtdruk ingaande zijde compressor</t>
  </si>
  <si>
    <t>Uitleg</t>
  </si>
  <si>
    <t>Gele cellen kunnen worden aangepast. Dit zijn de variabelen van het model. Deze dien je te gebruiken in je model.</t>
  </si>
  <si>
    <t>De groene cellen dien je in te vullen (zodanig dat als de gele cellen aangepast worden, de waarden in de groene cellen mee veranderen). Je dient hier dus formules of verwijzingen in te zetten en geen vaste getallen.</t>
  </si>
  <si>
    <t>Netto arbeid</t>
  </si>
  <si>
    <t>Thermisch rendement</t>
  </si>
  <si>
    <t>Oppervlakte intrede compressor</t>
  </si>
  <si>
    <t>m²</t>
  </si>
  <si>
    <t>Oppervlakte uittrede compressor</t>
  </si>
  <si>
    <t>q (kJ/kg)</t>
  </si>
  <si>
    <t>Δh (kJ/kg)</t>
  </si>
  <si>
    <r>
      <t>w</t>
    </r>
    <r>
      <rPr>
        <b/>
        <vertAlign val="subscript"/>
        <sz val="11"/>
        <color theme="1"/>
        <rFont val="Calibri"/>
        <family val="2"/>
        <scheme val="minor"/>
      </rPr>
      <t xml:space="preserve">technisch </t>
    </r>
    <r>
      <rPr>
        <b/>
        <sz val="11"/>
        <color theme="1"/>
        <rFont val="Calibri"/>
        <family val="2"/>
        <scheme val="minor"/>
      </rPr>
      <t>(kJ/kg)</t>
    </r>
  </si>
  <si>
    <r>
      <t>Δe</t>
    </r>
    <r>
      <rPr>
        <b/>
        <vertAlign val="subscript"/>
        <sz val="11"/>
        <color theme="1"/>
        <rFont val="Calibri"/>
        <family val="2"/>
        <scheme val="minor"/>
      </rPr>
      <t>kin</t>
    </r>
    <r>
      <rPr>
        <b/>
        <sz val="11"/>
        <color theme="1"/>
        <rFont val="Calibri"/>
        <family val="2"/>
        <scheme val="minor"/>
      </rPr>
      <t xml:space="preserve"> (kJ/kg)</t>
    </r>
  </si>
  <si>
    <r>
      <t>Δe</t>
    </r>
    <r>
      <rPr>
        <b/>
        <vertAlign val="subscript"/>
        <sz val="11"/>
        <color theme="1"/>
        <rFont val="Calibri"/>
        <family val="2"/>
        <scheme val="minor"/>
      </rPr>
      <t>pot</t>
    </r>
    <r>
      <rPr>
        <b/>
        <sz val="11"/>
        <color theme="1"/>
        <rFont val="Calibri"/>
        <family val="2"/>
        <scheme val="minor"/>
      </rPr>
      <t xml:space="preserve"> (kJ/kg)</t>
    </r>
  </si>
  <si>
    <t>Δu (kJ/kg)</t>
  </si>
  <si>
    <t>Snelheid gas uittrede compressor</t>
  </si>
  <si>
    <t>Snelheid gas intrede compressor</t>
  </si>
  <si>
    <t>m/s</t>
  </si>
  <si>
    <r>
      <t>w</t>
    </r>
    <r>
      <rPr>
        <b/>
        <vertAlign val="subscript"/>
        <sz val="11"/>
        <color theme="1"/>
        <rFont val="Calibri"/>
        <family val="2"/>
        <scheme val="minor"/>
      </rPr>
      <t>vol</t>
    </r>
    <r>
      <rPr>
        <b/>
        <sz val="11"/>
        <color theme="1"/>
        <rFont val="Calibri"/>
        <family val="2"/>
        <scheme val="minor"/>
      </rPr>
      <t xml:space="preserve"> (kJ/kg)</t>
    </r>
  </si>
  <si>
    <t>Oppervlakte uittrede warmtetoevoer</t>
  </si>
  <si>
    <t>Snelheid gas uittrede warmtetoevoer</t>
  </si>
  <si>
    <t>Oppervlakte uittrede turbine</t>
  </si>
  <si>
    <t>Snelheid gas uittrede turbine</t>
  </si>
  <si>
    <t>Energiebalans 1: gesloten kringproces</t>
  </si>
  <si>
    <t>Energiebalans 2: componenten als open systeem</t>
  </si>
  <si>
    <t>Deze spreadsheet is beveiligd. Alleen in de daartoe aangewezen cellen kun je werken. Het p-V diagram vult zich automatisch wanneer je de verschillende groene cellen invult. Maak eerst energiebalans 1 in orde door opeenvolgende de tabbladen Compressor, Warmtetoevoer, Turbine en Koeling in te vullen. Als laatste maak je energiebalans 2 in orde.</t>
  </si>
  <si>
    <t>compressor    1-2</t>
  </si>
  <si>
    <t>warmtetoevoer    2-3</t>
  </si>
  <si>
    <t>turbine    3-4</t>
  </si>
  <si>
    <t>warmteafvoer    4-1</t>
  </si>
  <si>
    <t>Pa</t>
  </si>
  <si>
    <t>bar_to_Pa</t>
  </si>
  <si>
    <t>-</t>
  </si>
  <si>
    <t>Watt</t>
  </si>
  <si>
    <t>m**3/s</t>
  </si>
  <si>
    <t>V_flux_1_si</t>
  </si>
  <si>
    <t>Q_in_si</t>
  </si>
  <si>
    <t>p_atm_si</t>
  </si>
  <si>
    <t>R</t>
  </si>
  <si>
    <t>J/kgK</t>
  </si>
  <si>
    <t>T_1_si</t>
  </si>
  <si>
    <t>rho_1</t>
  </si>
  <si>
    <t>kg/m**3</t>
  </si>
  <si>
    <t>p_2_si</t>
  </si>
  <si>
    <t>rho_2</t>
  </si>
  <si>
    <t>V_flux_2</t>
  </si>
  <si>
    <t>to_Kilo</t>
  </si>
  <si>
    <t>from_kilo</t>
  </si>
  <si>
    <t>rho_3</t>
  </si>
  <si>
    <t>V_flux_3</t>
  </si>
  <si>
    <t>rho_4</t>
  </si>
  <si>
    <t>V_flux_4</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</si>
</sst>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_ * #,##0.000_ ;_ * \-#,##0.000_ ;_ * &quot;-&quot;??_ ;_ @_ "/>
    <numFmt numFmtId="165" formatCode="_ * #,##0.0_ ;_ * \-#,##0.0_ ;_ * &quot;-&quot;??_ ;_ @_ "/>
    <numFmt numFmtId="166" formatCode="_ * #,##0_ ;_ * \-#,##0_ ;_ * &quot;-&quot;??_ ;_ @_ "/>
    <numFmt numFmtId="167" formatCode="_ * \+#,##0_ ;_ * \-#,##0_ ;_ * &quot;-&quot;??_ ;_ @_ "/>
    <numFmt numFmtId="168" formatCode="0.0%"/>
    <numFmt numFmtId="172" formatCode="_ * \+#,##0.00_ ;_ * \-#,##0.00_ ;_ * &quot;-&quot;??_ ;_ @_ "/>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11"/>
      <color theme="1"/>
      <name val="Calibri"/>
      <family val="2"/>
      <scheme val="minor"/>
    </font>
    <font>
      <sz val="11"/>
      <name val="Calibri"/>
      <family val="2"/>
      <scheme val="minor"/>
    </font>
    <font>
      <sz val="11"/>
      <color rgb="FFFF0000"/>
      <name val="Calibri"/>
      <family val="2"/>
      <scheme val="minor"/>
    </font>
    <font>
      <i/>
      <sz val="11"/>
      <color theme="1"/>
      <name val="Calibri"/>
      <family val="2"/>
      <scheme val="minor"/>
    </font>
    <font>
      <b/>
      <vertAlign val="subscript"/>
      <sz val="11"/>
      <color theme="1"/>
      <name val="Calibri"/>
      <family val="2"/>
      <scheme val="minor"/>
    </font>
  </fonts>
  <fills count="4">
    <fill>
      <patternFill patternType="none"/>
    </fill>
    <fill>
      <patternFill patternType="gray125"/>
    </fill>
    <fill>
      <patternFill patternType="solid">
        <fgColor rgb="FFFFFF99"/>
        <bgColor indexed="64"/>
      </patternFill>
    </fill>
    <fill>
      <patternFill patternType="solid">
        <fgColor rgb="FFCCFF99"/>
        <bgColor indexed="64"/>
      </patternFill>
    </fill>
  </fills>
  <borders count="10">
    <border>
      <left/>
      <right/>
      <top/>
      <bottom/>
      <diagonal/>
    </border>
    <border>
      <left/>
      <right/>
      <top style="double">
        <color auto="1"/>
      </top>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3">
    <xf numFmtId="0" fontId="0" fillId="0" borderId="0" xfId="0"/>
    <xf numFmtId="0" fontId="2" fillId="0" borderId="0" xfId="0" applyFont="1"/>
    <xf numFmtId="0" fontId="3" fillId="0" borderId="0" xfId="0" applyFont="1"/>
    <xf numFmtId="164" fontId="0" fillId="0" borderId="0" xfId="1" applyNumberFormat="1" applyFont="1"/>
    <xf numFmtId="0" fontId="4" fillId="0" borderId="0" xfId="0" applyFont="1"/>
    <xf numFmtId="49" fontId="0" fillId="0" borderId="0" xfId="0" applyNumberFormat="1" applyFont="1" applyAlignment="1">
      <alignment horizontal="right"/>
    </xf>
    <xf numFmtId="0" fontId="0" fillId="0" borderId="0" xfId="0" applyFont="1"/>
    <xf numFmtId="167" fontId="4" fillId="0" borderId="0" xfId="1" applyNumberFormat="1" applyFont="1"/>
    <xf numFmtId="167" fontId="4" fillId="0" borderId="1" xfId="0" applyNumberFormat="1" applyFont="1" applyBorder="1"/>
    <xf numFmtId="167" fontId="6" fillId="0" borderId="1" xfId="0" applyNumberFormat="1" applyFont="1" applyBorder="1"/>
    <xf numFmtId="164" fontId="4" fillId="2" borderId="0" xfId="1" applyNumberFormat="1" applyFont="1" applyFill="1" applyProtection="1">
      <protection locked="0"/>
    </xf>
    <xf numFmtId="166" fontId="4" fillId="2" borderId="0" xfId="1" applyNumberFormat="1" applyFont="1" applyFill="1" applyProtection="1">
      <protection locked="0"/>
    </xf>
    <xf numFmtId="165" fontId="4" fillId="2" borderId="0" xfId="1" applyNumberFormat="1" applyFont="1" applyFill="1" applyProtection="1">
      <protection locked="0"/>
    </xf>
    <xf numFmtId="167" fontId="4" fillId="3" borderId="0" xfId="1" applyNumberFormat="1" applyFont="1" applyFill="1" applyProtection="1">
      <protection locked="0"/>
    </xf>
    <xf numFmtId="166" fontId="5" fillId="3" borderId="0" xfId="1" applyNumberFormat="1" applyFont="1" applyFill="1" applyProtection="1">
      <protection locked="0"/>
    </xf>
    <xf numFmtId="43" fontId="0" fillId="3" borderId="0" xfId="1" applyNumberFormat="1" applyFont="1" applyFill="1" applyProtection="1">
      <protection locked="0"/>
    </xf>
    <xf numFmtId="164" fontId="0" fillId="3" borderId="0" xfId="1" applyNumberFormat="1" applyFont="1" applyFill="1" applyProtection="1">
      <protection locked="0"/>
    </xf>
    <xf numFmtId="167" fontId="5" fillId="3" borderId="0" xfId="1" applyNumberFormat="1" applyFont="1" applyFill="1" applyProtection="1">
      <protection locked="0"/>
    </xf>
    <xf numFmtId="167" fontId="0" fillId="3" borderId="0" xfId="1" applyNumberFormat="1" applyFont="1" applyFill="1" applyProtection="1">
      <protection locked="0"/>
    </xf>
    <xf numFmtId="166" fontId="0" fillId="3" borderId="0" xfId="1" applyNumberFormat="1" applyFont="1" applyFill="1" applyProtection="1">
      <protection locked="0"/>
    </xf>
    <xf numFmtId="0" fontId="0" fillId="0" borderId="0" xfId="0" applyBorder="1" applyProtection="1">
      <protection locked="0"/>
    </xf>
    <xf numFmtId="0" fontId="0" fillId="0" borderId="2"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2" xfId="0" applyBorder="1" applyAlignment="1" applyProtection="1">
      <alignment horizontal="right"/>
      <protection locked="0"/>
    </xf>
    <xf numFmtId="43" fontId="0" fillId="0" borderId="3" xfId="1" applyFont="1" applyBorder="1" applyProtection="1">
      <protection locked="0"/>
    </xf>
    <xf numFmtId="0" fontId="0" fillId="0" borderId="5" xfId="0" applyBorder="1" applyAlignment="1" applyProtection="1">
      <alignment horizontal="right"/>
      <protection locked="0"/>
    </xf>
    <xf numFmtId="43" fontId="0" fillId="0" borderId="0" xfId="1" applyFont="1" applyBorder="1" applyProtection="1">
      <protection locked="0"/>
    </xf>
    <xf numFmtId="166" fontId="0" fillId="0" borderId="0" xfId="1" applyNumberFormat="1" applyFont="1" applyBorder="1" applyProtection="1">
      <protection locked="0"/>
    </xf>
    <xf numFmtId="43" fontId="0" fillId="0" borderId="0" xfId="0" applyNumberFormat="1" applyBorder="1" applyProtection="1">
      <protection locked="0"/>
    </xf>
    <xf numFmtId="0" fontId="0" fillId="0" borderId="5" xfId="0" quotePrefix="1" applyBorder="1" applyAlignment="1" applyProtection="1">
      <alignment horizontal="right"/>
      <protection locked="0"/>
    </xf>
    <xf numFmtId="0" fontId="1" fillId="0" borderId="0" xfId="0" applyFont="1"/>
    <xf numFmtId="0" fontId="7" fillId="0" borderId="0" xfId="0" applyFont="1" applyAlignment="1">
      <alignment vertical="top" wrapText="1"/>
    </xf>
    <xf numFmtId="0" fontId="7" fillId="2" borderId="0" xfId="0" applyFont="1" applyFill="1" applyAlignment="1">
      <alignment vertical="top" wrapText="1"/>
    </xf>
    <xf numFmtId="0" fontId="7" fillId="3" borderId="0" xfId="0" applyFont="1" applyFill="1" applyAlignment="1">
      <alignment vertical="top" wrapText="1"/>
    </xf>
    <xf numFmtId="166" fontId="4" fillId="0" borderId="0" xfId="1" applyNumberFormat="1" applyFont="1"/>
    <xf numFmtId="168" fontId="4" fillId="0" borderId="0" xfId="2" applyNumberFormat="1" applyFont="1"/>
    <xf numFmtId="43" fontId="4" fillId="0" borderId="0" xfId="1" applyNumberFormat="1" applyFont="1" applyFill="1"/>
    <xf numFmtId="43" fontId="1" fillId="2" borderId="0" xfId="1" applyNumberFormat="1" applyFont="1" applyFill="1" applyProtection="1">
      <protection locked="0"/>
    </xf>
    <xf numFmtId="49" fontId="2" fillId="0" borderId="0" xfId="0" applyNumberFormat="1" applyFont="1" applyAlignment="1">
      <alignment horizontal="left"/>
    </xf>
    <xf numFmtId="167" fontId="1" fillId="0" borderId="0" xfId="1" applyNumberFormat="1" applyFont="1"/>
    <xf numFmtId="167" fontId="1" fillId="3" borderId="0" xfId="1" applyNumberFormat="1" applyFont="1" applyFill="1" applyProtection="1">
      <protection locked="0"/>
    </xf>
    <xf numFmtId="167" fontId="1" fillId="0" borderId="1" xfId="0" applyNumberFormat="1" applyFont="1" applyBorder="1"/>
    <xf numFmtId="43" fontId="5" fillId="3" borderId="0" xfId="1" applyNumberFormat="1" applyFont="1" applyFill="1" applyProtection="1">
      <protection locked="0"/>
    </xf>
    <xf numFmtId="2" fontId="0" fillId="0" borderId="0" xfId="0" applyNumberFormat="1" applyBorder="1" applyProtection="1">
      <protection locked="0"/>
    </xf>
    <xf numFmtId="11" fontId="0" fillId="0" borderId="0" xfId="0" applyNumberFormat="1"/>
    <xf numFmtId="164" fontId="1" fillId="3" borderId="0" xfId="1" applyNumberFormat="1" applyFont="1" applyFill="1" applyProtection="1">
      <protection locked="0"/>
    </xf>
    <xf numFmtId="172" fontId="1" fillId="0" borderId="1" xfId="0" applyNumberFormat="1" applyFont="1" applyBorder="1"/>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CCFF99"/>
      <color rgb="FFFFFF99"/>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Compressor</c:v>
          </c:tx>
          <c:spPr>
            <a:ln w="19050" cap="rnd">
              <a:solidFill>
                <a:schemeClr val="accent1"/>
              </a:solidFill>
              <a:round/>
            </a:ln>
            <a:effectLst/>
          </c:spPr>
          <c:marker>
            <c:symbol val="none"/>
          </c:marker>
          <c:xVal>
            <c:numRef>
              <c:f>Compressor!$E$3:$E$103</c:f>
              <c:numCache>
                <c:formatCode>_ * #,##0.000_ ;_ * \-#,##0.000_ ;_ * "-"??_ ;_ @_ </c:formatCode>
                <c:ptCount val="101"/>
                <c:pt idx="0">
                  <c:v>0.82206663376110567</c:v>
                </c:pt>
                <c:pt idx="1">
                  <c:v>0.8154546323436398</c:v>
                </c:pt>
                <c:pt idx="2">
                  <c:v>0.80884263092617392</c:v>
                </c:pt>
                <c:pt idx="3">
                  <c:v>0.80223062950870805</c:v>
                </c:pt>
                <c:pt idx="4">
                  <c:v>0.79561862809124217</c:v>
                </c:pt>
                <c:pt idx="5">
                  <c:v>0.7890066266737763</c:v>
                </c:pt>
                <c:pt idx="6">
                  <c:v>0.78239462525631043</c:v>
                </c:pt>
                <c:pt idx="7">
                  <c:v>0.77578262383884455</c:v>
                </c:pt>
                <c:pt idx="8">
                  <c:v>0.76917062242137868</c:v>
                </c:pt>
                <c:pt idx="9">
                  <c:v>0.76255862100391281</c:v>
                </c:pt>
                <c:pt idx="10">
                  <c:v>0.75594661958644693</c:v>
                </c:pt>
                <c:pt idx="11">
                  <c:v>0.74933461816898106</c:v>
                </c:pt>
                <c:pt idx="12">
                  <c:v>0.74272261675151519</c:v>
                </c:pt>
                <c:pt idx="13">
                  <c:v>0.73611061533404931</c:v>
                </c:pt>
                <c:pt idx="14">
                  <c:v>0.72949861391658344</c:v>
                </c:pt>
                <c:pt idx="15">
                  <c:v>0.72288661249911756</c:v>
                </c:pt>
                <c:pt idx="16">
                  <c:v>0.71627461108165169</c:v>
                </c:pt>
                <c:pt idx="17">
                  <c:v>0.70966260966418582</c:v>
                </c:pt>
                <c:pt idx="18">
                  <c:v>0.70305060824671994</c:v>
                </c:pt>
                <c:pt idx="19">
                  <c:v>0.69643860682925407</c:v>
                </c:pt>
                <c:pt idx="20">
                  <c:v>0.6898266054117882</c:v>
                </c:pt>
                <c:pt idx="21">
                  <c:v>0.68321460399432232</c:v>
                </c:pt>
                <c:pt idx="22">
                  <c:v>0.67660260257685645</c:v>
                </c:pt>
                <c:pt idx="23">
                  <c:v>0.66999060115939058</c:v>
                </c:pt>
                <c:pt idx="24">
                  <c:v>0.6633785997419247</c:v>
                </c:pt>
                <c:pt idx="25">
                  <c:v>0.65676659832445883</c:v>
                </c:pt>
                <c:pt idx="26">
                  <c:v>0.65015459690699295</c:v>
                </c:pt>
                <c:pt idx="27">
                  <c:v>0.64354259548952708</c:v>
                </c:pt>
                <c:pt idx="28">
                  <c:v>0.63693059407206121</c:v>
                </c:pt>
                <c:pt idx="29">
                  <c:v>0.63031859265459533</c:v>
                </c:pt>
                <c:pt idx="30">
                  <c:v>0.62370659123712946</c:v>
                </c:pt>
                <c:pt idx="31">
                  <c:v>0.61709458981966359</c:v>
                </c:pt>
                <c:pt idx="32">
                  <c:v>0.61048258840219771</c:v>
                </c:pt>
                <c:pt idx="33">
                  <c:v>0.60387058698473184</c:v>
                </c:pt>
                <c:pt idx="34">
                  <c:v>0.59725858556726596</c:v>
                </c:pt>
                <c:pt idx="35">
                  <c:v>0.59064658414980009</c:v>
                </c:pt>
                <c:pt idx="36">
                  <c:v>0.58403458273233422</c:v>
                </c:pt>
                <c:pt idx="37">
                  <c:v>0.57742258131486834</c:v>
                </c:pt>
                <c:pt idx="38">
                  <c:v>0.57081057989740247</c:v>
                </c:pt>
                <c:pt idx="39">
                  <c:v>0.5641985784799366</c:v>
                </c:pt>
                <c:pt idx="40">
                  <c:v>0.55758657706247072</c:v>
                </c:pt>
                <c:pt idx="41">
                  <c:v>0.55097457564500485</c:v>
                </c:pt>
                <c:pt idx="42">
                  <c:v>0.54436257422753898</c:v>
                </c:pt>
                <c:pt idx="43">
                  <c:v>0.5377505728100731</c:v>
                </c:pt>
                <c:pt idx="44">
                  <c:v>0.53113857139260723</c:v>
                </c:pt>
                <c:pt idx="45">
                  <c:v>0.52452656997514135</c:v>
                </c:pt>
                <c:pt idx="46">
                  <c:v>0.51791456855767548</c:v>
                </c:pt>
                <c:pt idx="47">
                  <c:v>0.51130256714020961</c:v>
                </c:pt>
                <c:pt idx="48">
                  <c:v>0.50469056572274373</c:v>
                </c:pt>
                <c:pt idx="49">
                  <c:v>0.49807856430527786</c:v>
                </c:pt>
                <c:pt idx="50">
                  <c:v>0.49146656288781199</c:v>
                </c:pt>
                <c:pt idx="51">
                  <c:v>0.48485456147034611</c:v>
                </c:pt>
                <c:pt idx="52">
                  <c:v>0.47824256005288024</c:v>
                </c:pt>
                <c:pt idx="53">
                  <c:v>0.47163055863541437</c:v>
                </c:pt>
                <c:pt idx="54">
                  <c:v>0.46501855721794849</c:v>
                </c:pt>
                <c:pt idx="55">
                  <c:v>0.45840655580048262</c:v>
                </c:pt>
                <c:pt idx="56">
                  <c:v>0.45179455438301674</c:v>
                </c:pt>
                <c:pt idx="57">
                  <c:v>0.44518255296555087</c:v>
                </c:pt>
                <c:pt idx="58">
                  <c:v>0.438570551548085</c:v>
                </c:pt>
                <c:pt idx="59">
                  <c:v>0.43195855013061912</c:v>
                </c:pt>
                <c:pt idx="60">
                  <c:v>0.42534654871315325</c:v>
                </c:pt>
                <c:pt idx="61">
                  <c:v>0.41873454729568738</c:v>
                </c:pt>
                <c:pt idx="62">
                  <c:v>0.4121225458782215</c:v>
                </c:pt>
                <c:pt idx="63">
                  <c:v>0.40551054446075563</c:v>
                </c:pt>
                <c:pt idx="64">
                  <c:v>0.39889854304328975</c:v>
                </c:pt>
                <c:pt idx="65">
                  <c:v>0.39228654162582388</c:v>
                </c:pt>
                <c:pt idx="66">
                  <c:v>0.38567454020835801</c:v>
                </c:pt>
                <c:pt idx="67">
                  <c:v>0.37906253879089213</c:v>
                </c:pt>
                <c:pt idx="68">
                  <c:v>0.37245053737342626</c:v>
                </c:pt>
                <c:pt idx="69">
                  <c:v>0.36583853595596039</c:v>
                </c:pt>
                <c:pt idx="70">
                  <c:v>0.35922653453849451</c:v>
                </c:pt>
                <c:pt idx="71">
                  <c:v>0.35261453312102864</c:v>
                </c:pt>
                <c:pt idx="72">
                  <c:v>0.34600253170356277</c:v>
                </c:pt>
                <c:pt idx="73">
                  <c:v>0.33939053028609689</c:v>
                </c:pt>
                <c:pt idx="74">
                  <c:v>0.33277852886863102</c:v>
                </c:pt>
                <c:pt idx="75">
                  <c:v>0.32616652745116514</c:v>
                </c:pt>
                <c:pt idx="76">
                  <c:v>0.31955452603369927</c:v>
                </c:pt>
                <c:pt idx="77">
                  <c:v>0.3129425246162334</c:v>
                </c:pt>
                <c:pt idx="78">
                  <c:v>0.30633052319876752</c:v>
                </c:pt>
                <c:pt idx="79">
                  <c:v>0.29971852178130165</c:v>
                </c:pt>
                <c:pt idx="80">
                  <c:v>0.29310652036383578</c:v>
                </c:pt>
                <c:pt idx="81">
                  <c:v>0.2864945189463699</c:v>
                </c:pt>
                <c:pt idx="82">
                  <c:v>0.27988251752890403</c:v>
                </c:pt>
                <c:pt idx="83">
                  <c:v>0.27327051611143816</c:v>
                </c:pt>
                <c:pt idx="84">
                  <c:v>0.26665851469397228</c:v>
                </c:pt>
                <c:pt idx="85">
                  <c:v>0.26004651327650641</c:v>
                </c:pt>
                <c:pt idx="86">
                  <c:v>0.25343451185904053</c:v>
                </c:pt>
                <c:pt idx="87">
                  <c:v>0.24682251044157466</c:v>
                </c:pt>
                <c:pt idx="88">
                  <c:v>0.24021050902410879</c:v>
                </c:pt>
                <c:pt idx="89">
                  <c:v>0.23359850760664291</c:v>
                </c:pt>
                <c:pt idx="90">
                  <c:v>0.22698650618917704</c:v>
                </c:pt>
                <c:pt idx="91">
                  <c:v>0.22037450477171117</c:v>
                </c:pt>
                <c:pt idx="92">
                  <c:v>0.21376250335424529</c:v>
                </c:pt>
                <c:pt idx="93">
                  <c:v>0.20715050193677942</c:v>
                </c:pt>
                <c:pt idx="94">
                  <c:v>0.20053850051931355</c:v>
                </c:pt>
                <c:pt idx="95">
                  <c:v>0.19392649910184767</c:v>
                </c:pt>
                <c:pt idx="96">
                  <c:v>0.1873144976843818</c:v>
                </c:pt>
                <c:pt idx="97">
                  <c:v>0.18070249626691592</c:v>
                </c:pt>
                <c:pt idx="98">
                  <c:v>0.17409049484945005</c:v>
                </c:pt>
                <c:pt idx="99">
                  <c:v>0.16747849343198418</c:v>
                </c:pt>
                <c:pt idx="100">
                  <c:v>0.16086649201451722</c:v>
                </c:pt>
              </c:numCache>
            </c:numRef>
          </c:xVal>
          <c:yVal>
            <c:numRef>
              <c:f>Compressor!$F$3:$F$103</c:f>
              <c:numCache>
                <c:formatCode>_(* #,##0.00_);_(* \(#,##0.00\);_(* "-"??_);_(@_)</c:formatCode>
                <c:ptCount val="101"/>
                <c:pt idx="0">
                  <c:v>1.0129999999999999</c:v>
                </c:pt>
                <c:pt idx="1">
                  <c:v>1.0245479414925975</c:v>
                </c:pt>
                <c:pt idx="2">
                  <c:v>1.0363231597846045</c:v>
                </c:pt>
                <c:pt idx="3">
                  <c:v>1.0483320411857824</c:v>
                </c:pt>
                <c:pt idx="4">
                  <c:v>1.0605812061118984</c:v>
                </c:pt>
                <c:pt idx="5">
                  <c:v>1.0730775197036209</c:v>
                </c:pt>
                <c:pt idx="6">
                  <c:v>1.0858281030210442</c:v>
                </c:pt>
                <c:pt idx="7">
                  <c:v>1.0988403448502346</c:v>
                </c:pt>
                <c:pt idx="8">
                  <c:v>1.1121219141608136</c:v>
                </c:pt>
                <c:pt idx="9">
                  <c:v>1.1256807732564418</c:v>
                </c:pt>
                <c:pt idx="10">
                  <c:v>1.1395251916631595</c:v>
                </c:pt>
                <c:pt idx="11">
                  <c:v>1.15366376080386</c:v>
                </c:pt>
                <c:pt idx="12">
                  <c:v>1.1681054095108154</c:v>
                </c:pt>
                <c:pt idx="13">
                  <c:v>1.1828594204320761</c:v>
                </c:pt>
                <c:pt idx="14">
                  <c:v>1.197935447391842</c:v>
                </c:pt>
                <c:pt idx="15">
                  <c:v>1.2133435337695182</c:v>
                </c:pt>
                <c:pt idx="16">
                  <c:v>1.2290941319672191</c:v>
                </c:pt>
                <c:pt idx="17">
                  <c:v>1.2451981240409187</c:v>
                </c:pt>
                <c:pt idx="18">
                  <c:v>1.2616668435764473</c:v>
                </c:pt>
                <c:pt idx="19">
                  <c:v>1.2785120988979821</c:v>
                </c:pt>
                <c:pt idx="20">
                  <c:v>1.2957461977037841</c:v>
                </c:pt>
                <c:pt idx="21">
                  <c:v>1.3133819732316336</c:v>
                </c:pt>
                <c:pt idx="22">
                  <c:v>1.3314328120648622</c:v>
                </c:pt>
                <c:pt idx="23">
                  <c:v>1.3499126836990798</c:v>
                </c:pt>
                <c:pt idx="24">
                  <c:v>1.3688361719997908</c:v>
                </c:pt>
                <c:pt idx="25">
                  <c:v>1.3882185086921142</c:v>
                </c:pt>
                <c:pt idx="26">
                  <c:v>1.4080756090359281</c:v>
                </c:pt>
                <c:pt idx="27">
                  <c:v>1.4284241098530186</c:v>
                </c:pt>
                <c:pt idx="28">
                  <c:v>1.4492814100873752</c:v>
                </c:pt>
                <c:pt idx="29">
                  <c:v>1.4706657140957791</c:v>
                </c:pt>
                <c:pt idx="30">
                  <c:v>1.4925960778834249</c:v>
                </c:pt>
                <c:pt idx="31">
                  <c:v>1.5150924585187069</c:v>
                </c:pt>
                <c:pt idx="32">
                  <c:v>1.5381757669826415</c:v>
                </c:pt>
                <c:pt idx="33">
                  <c:v>1.5618679247319578</c:v>
                </c:pt>
                <c:pt idx="34">
                  <c:v>1.5861919242809248</c:v>
                </c:pt>
                <c:pt idx="35">
                  <c:v>1.6111718941357138</c:v>
                </c:pt>
                <c:pt idx="36">
                  <c:v>1.636833168446953</c:v>
                </c:pt>
                <c:pt idx="37">
                  <c:v>1.6632023617813811</c:v>
                </c:pt>
                <c:pt idx="38">
                  <c:v>1.6903074494526265</c:v>
                </c:pt>
                <c:pt idx="39">
                  <c:v>1.7181778538945796</c:v>
                </c:pt>
                <c:pt idx="40">
                  <c:v>1.7468445376091133</c:v>
                </c:pt>
                <c:pt idx="41">
                  <c:v>1.7763401032736623</c:v>
                </c:pt>
                <c:pt idx="42">
                  <c:v>1.8066989016540802</c:v>
                </c:pt>
                <c:pt idx="43">
                  <c:v>1.837957148035047</c:v>
                </c:pt>
                <c:pt idx="44">
                  <c:v>1.8701530479550035</c:v>
                </c:pt>
                <c:pt idx="45">
                  <c:v>1.903326933116152</c:v>
                </c:pt>
                <c:pt idx="46">
                  <c:v>1.9375214084337042</c:v>
                </c:pt>
                <c:pt idx="47">
                  <c:v>1.9727815112936136</c:v>
                </c:pt>
                <c:pt idx="48">
                  <c:v>2.0091548842060343</c:v>
                </c:pt>
                <c:pt idx="49">
                  <c:v>2.0466919621745654</c:v>
                </c:pt>
                <c:pt idx="50">
                  <c:v>2.0854461762509757</c:v>
                </c:pt>
                <c:pt idx="51">
                  <c:v>2.1254741749139741</c:v>
                </c:pt>
                <c:pt idx="52">
                  <c:v>2.1668360651015175</c:v>
                </c:pt>
                <c:pt idx="53">
                  <c:v>2.2095956749422569</c:v>
                </c:pt>
                <c:pt idx="54">
                  <c:v>2.2538208404768674</c:v>
                </c:pt>
                <c:pt idx="55">
                  <c:v>2.2995837189384418</c:v>
                </c:pt>
                <c:pt idx="56">
                  <c:v>2.3469611314780399</c:v>
                </c:pt>
                <c:pt idx="57">
                  <c:v>2.3960349385827602</c:v>
                </c:pt>
                <c:pt idx="58">
                  <c:v>2.4468924518463497</c:v>
                </c:pt>
                <c:pt idx="59">
                  <c:v>2.4996268862246045</c:v>
                </c:pt>
                <c:pt idx="60">
                  <c:v>2.5543378574492923</c:v>
                </c:pt>
                <c:pt idx="61">
                  <c:v>2.6111319298964317</c:v>
                </c:pt>
                <c:pt idx="62">
                  <c:v>2.6701232209210768</c:v>
                </c:pt>
                <c:pt idx="63">
                  <c:v>2.7314340684971916</c:v>
                </c:pt>
                <c:pt idx="64">
                  <c:v>2.795195769956921</c:v>
                </c:pt>
                <c:pt idx="65">
                  <c:v>2.8615494007312359</c:v>
                </c:pt>
                <c:pt idx="66">
                  <c:v>2.930646723280828</c:v>
                </c:pt>
                <c:pt idx="67">
                  <c:v>3.0026511979047372</c:v>
                </c:pt>
                <c:pt idx="68">
                  <c:v>3.0777391088640238</c:v>
                </c:pt>
                <c:pt idx="69">
                  <c:v>3.1561008213058601</c:v>
                </c:pt>
                <c:pt idx="70">
                  <c:v>3.2379421868774836</c:v>
                </c:pt>
                <c:pt idx="71">
                  <c:v>3.3234861187487641</c:v>
                </c:pt>
                <c:pt idx="72">
                  <c:v>3.4129743601020093</c:v>
                </c:pt>
                <c:pt idx="73">
                  <c:v>3.5066694741015159</c:v>
                </c:pt>
                <c:pt idx="74">
                  <c:v>3.6048570880510211</c:v>
                </c:pt>
                <c:pt idx="75">
                  <c:v>3.7078484300414636</c:v>
                </c:pt>
                <c:pt idx="76">
                  <c:v>3.8159832030787109</c:v>
                </c:pt>
                <c:pt idx="77">
                  <c:v>3.9296328497021338</c:v>
                </c:pt>
                <c:pt idx="78">
                  <c:v>4.0492042697613932</c:v>
                </c:pt>
                <c:pt idx="79">
                  <c:v>4.1751440656868155</c:v>
                </c:pt>
                <c:pt idx="80">
                  <c:v>4.3079434037431552</c:v>
                </c:pt>
                <c:pt idx="81">
                  <c:v>4.4481435969964167</c:v>
                </c:pt>
                <c:pt idx="82">
                  <c:v>4.5963425368110089</c:v>
                </c:pt>
                <c:pt idx="83">
                  <c:v>4.7532021256027184</c:v>
                </c:pt>
                <c:pt idx="84">
                  <c:v>4.9194568955514333</c:v>
                </c:pt>
                <c:pt idx="85">
                  <c:v>5.0959240376398309</c:v>
                </c:pt>
                <c:pt idx="86">
                  <c:v>5.2835151148266331</c:v>
                </c:pt>
                <c:pt idx="87">
                  <c:v>5.4832497951252233</c:v>
                </c:pt>
                <c:pt idx="88">
                  <c:v>5.6962720184447813</c:v>
                </c:pt>
                <c:pt idx="89">
                  <c:v>5.9238691100360148</c:v>
                </c:pt>
                <c:pt idx="90">
                  <c:v>6.1674944796356304</c:v>
                </c:pt>
                <c:pt idx="91">
                  <c:v>6.4287947074838483</c:v>
                </c:pt>
                <c:pt idx="92">
                  <c:v>6.7096420278954261</c:v>
                </c:pt>
                <c:pt idx="93">
                  <c:v>7.0121734938424671</c:v>
                </c:pt>
                <c:pt idx="94">
                  <c:v>7.338838463897762</c:v>
                </c:pt>
                <c:pt idx="95">
                  <c:v>7.6924565262785674</c:v>
                </c:pt>
                <c:pt idx="96">
                  <c:v>8.0762886063258197</c:v>
                </c:pt>
                <c:pt idx="97">
                  <c:v>8.4941248541978922</c:v>
                </c:pt>
                <c:pt idx="98">
                  <c:v>8.9503940659527288</c:v>
                </c:pt>
                <c:pt idx="99">
                  <c:v>9.4503009801460003</c:v>
                </c:pt>
                <c:pt idx="100">
                  <c:v>10.000000000000004</c:v>
                </c:pt>
              </c:numCache>
            </c:numRef>
          </c:yVal>
          <c:smooth val="0"/>
          <c:extLst xmlns:c16r2="http://schemas.microsoft.com/office/drawing/2015/06/chart">
            <c:ext xmlns:c16="http://schemas.microsoft.com/office/drawing/2014/chart" uri="{C3380CC4-5D6E-409C-BE32-E72D297353CC}">
              <c16:uniqueId val="{00000005-C0E1-4358-8A79-3FBCC97CFC5A}"/>
            </c:ext>
          </c:extLst>
        </c:ser>
        <c:ser>
          <c:idx val="3"/>
          <c:order val="1"/>
          <c:tx>
            <c:v>Warmtetoevoer</c:v>
          </c:tx>
          <c:spPr>
            <a:ln w="19050" cap="rnd">
              <a:solidFill>
                <a:schemeClr val="accent1"/>
              </a:solidFill>
              <a:round/>
            </a:ln>
            <a:effectLst/>
          </c:spPr>
          <c:marker>
            <c:symbol val="none"/>
          </c:marker>
          <c:xVal>
            <c:numRef>
              <c:f>Warmtetoevoer!$E$3:$E$103</c:f>
              <c:numCache>
                <c:formatCode>_ * #,##0.000_ ;_ * \-#,##0.000_ ;_ * "-"??_ ;_ @_ </c:formatCode>
                <c:ptCount val="101"/>
                <c:pt idx="0">
                  <c:v>0.16086649201451722</c:v>
                </c:pt>
                <c:pt idx="1">
                  <c:v>0.16370323538355555</c:v>
                </c:pt>
                <c:pt idx="2">
                  <c:v>0.16653997875259388</c:v>
                </c:pt>
                <c:pt idx="3">
                  <c:v>0.16937672212163221</c:v>
                </c:pt>
                <c:pt idx="4">
                  <c:v>0.17221346549067054</c:v>
                </c:pt>
                <c:pt idx="5">
                  <c:v>0.17505020885970887</c:v>
                </c:pt>
                <c:pt idx="6">
                  <c:v>0.1778869522287472</c:v>
                </c:pt>
                <c:pt idx="7">
                  <c:v>0.18072369559778553</c:v>
                </c:pt>
                <c:pt idx="8">
                  <c:v>0.18356043896682386</c:v>
                </c:pt>
                <c:pt idx="9">
                  <c:v>0.18639718233586219</c:v>
                </c:pt>
                <c:pt idx="10">
                  <c:v>0.18923392570490052</c:v>
                </c:pt>
                <c:pt idx="11">
                  <c:v>0.19207066907393885</c:v>
                </c:pt>
                <c:pt idx="12">
                  <c:v>0.19490741244297718</c:v>
                </c:pt>
                <c:pt idx="13">
                  <c:v>0.19774415581201552</c:v>
                </c:pt>
                <c:pt idx="14">
                  <c:v>0.20058089918105385</c:v>
                </c:pt>
                <c:pt idx="15">
                  <c:v>0.20341764255009218</c:v>
                </c:pt>
                <c:pt idx="16">
                  <c:v>0.20625438591913051</c:v>
                </c:pt>
                <c:pt idx="17">
                  <c:v>0.20909112928816884</c:v>
                </c:pt>
                <c:pt idx="18">
                  <c:v>0.21192787265720717</c:v>
                </c:pt>
                <c:pt idx="19">
                  <c:v>0.2147646160262455</c:v>
                </c:pt>
                <c:pt idx="20">
                  <c:v>0.21760135939528383</c:v>
                </c:pt>
                <c:pt idx="21">
                  <c:v>0.22043810276432216</c:v>
                </c:pt>
                <c:pt idx="22">
                  <c:v>0.22327484613336049</c:v>
                </c:pt>
                <c:pt idx="23">
                  <c:v>0.22611158950239882</c:v>
                </c:pt>
                <c:pt idx="24">
                  <c:v>0.22894833287143715</c:v>
                </c:pt>
                <c:pt idx="25">
                  <c:v>0.23178507624047548</c:v>
                </c:pt>
                <c:pt idx="26">
                  <c:v>0.23462181960951381</c:v>
                </c:pt>
                <c:pt idx="27">
                  <c:v>0.23745856297855214</c:v>
                </c:pt>
                <c:pt idx="28">
                  <c:v>0.24029530634759047</c:v>
                </c:pt>
                <c:pt idx="29">
                  <c:v>0.2431320497166288</c:v>
                </c:pt>
                <c:pt idx="30">
                  <c:v>0.24596879308566713</c:v>
                </c:pt>
                <c:pt idx="31">
                  <c:v>0.24880553645470546</c:v>
                </c:pt>
                <c:pt idx="32">
                  <c:v>0.25164227982374376</c:v>
                </c:pt>
                <c:pt idx="33">
                  <c:v>0.25447902319278209</c:v>
                </c:pt>
                <c:pt idx="34">
                  <c:v>0.25731576656182042</c:v>
                </c:pt>
                <c:pt idx="35">
                  <c:v>0.26015250993085876</c:v>
                </c:pt>
                <c:pt idx="36">
                  <c:v>0.26298925329989709</c:v>
                </c:pt>
                <c:pt idx="37">
                  <c:v>0.26582599666893542</c:v>
                </c:pt>
                <c:pt idx="38">
                  <c:v>0.26866274003797375</c:v>
                </c:pt>
                <c:pt idx="39">
                  <c:v>0.27149948340701208</c:v>
                </c:pt>
                <c:pt idx="40">
                  <c:v>0.27433622677605041</c:v>
                </c:pt>
                <c:pt idx="41">
                  <c:v>0.27717297014508874</c:v>
                </c:pt>
                <c:pt idx="42">
                  <c:v>0.28000971351412707</c:v>
                </c:pt>
                <c:pt idx="43">
                  <c:v>0.2828464568831654</c:v>
                </c:pt>
                <c:pt idx="44">
                  <c:v>0.28568320025220373</c:v>
                </c:pt>
                <c:pt idx="45">
                  <c:v>0.28851994362124206</c:v>
                </c:pt>
                <c:pt idx="46">
                  <c:v>0.29135668699028039</c:v>
                </c:pt>
                <c:pt idx="47">
                  <c:v>0.29419343035931872</c:v>
                </c:pt>
                <c:pt idx="48">
                  <c:v>0.29703017372835705</c:v>
                </c:pt>
                <c:pt idx="49">
                  <c:v>0.29986691709739538</c:v>
                </c:pt>
                <c:pt idx="50">
                  <c:v>0.30270366046643371</c:v>
                </c:pt>
                <c:pt idx="51">
                  <c:v>0.30554040383547204</c:v>
                </c:pt>
                <c:pt idx="52">
                  <c:v>0.30837714720451037</c:v>
                </c:pt>
                <c:pt idx="53">
                  <c:v>0.3112138905735487</c:v>
                </c:pt>
                <c:pt idx="54">
                  <c:v>0.31405063394258703</c:v>
                </c:pt>
                <c:pt idx="55">
                  <c:v>0.31688737731162536</c:v>
                </c:pt>
                <c:pt idx="56">
                  <c:v>0.31972412068066369</c:v>
                </c:pt>
                <c:pt idx="57">
                  <c:v>0.32256086404970202</c:v>
                </c:pt>
                <c:pt idx="58">
                  <c:v>0.32539760741874035</c:v>
                </c:pt>
                <c:pt idx="59">
                  <c:v>0.32823435078777868</c:v>
                </c:pt>
                <c:pt idx="60">
                  <c:v>0.33107109415681701</c:v>
                </c:pt>
                <c:pt idx="61">
                  <c:v>0.33390783752585534</c:v>
                </c:pt>
                <c:pt idx="62">
                  <c:v>0.33674458089489367</c:v>
                </c:pt>
                <c:pt idx="63">
                  <c:v>0.33958132426393201</c:v>
                </c:pt>
                <c:pt idx="64">
                  <c:v>0.34241806763297034</c:v>
                </c:pt>
                <c:pt idx="65">
                  <c:v>0.34525481100200867</c:v>
                </c:pt>
                <c:pt idx="66">
                  <c:v>0.348091554371047</c:v>
                </c:pt>
                <c:pt idx="67">
                  <c:v>0.35092829774008533</c:v>
                </c:pt>
                <c:pt idx="68">
                  <c:v>0.35376504110912366</c:v>
                </c:pt>
                <c:pt idx="69">
                  <c:v>0.35660178447816199</c:v>
                </c:pt>
                <c:pt idx="70">
                  <c:v>0.35943852784720032</c:v>
                </c:pt>
                <c:pt idx="71">
                  <c:v>0.36227527121623865</c:v>
                </c:pt>
                <c:pt idx="72">
                  <c:v>0.36511201458527698</c:v>
                </c:pt>
                <c:pt idx="73">
                  <c:v>0.36794875795431531</c:v>
                </c:pt>
                <c:pt idx="74">
                  <c:v>0.37078550132335364</c:v>
                </c:pt>
                <c:pt idx="75">
                  <c:v>0.37362224469239197</c:v>
                </c:pt>
                <c:pt idx="76">
                  <c:v>0.3764589880614303</c:v>
                </c:pt>
                <c:pt idx="77">
                  <c:v>0.37929573143046863</c:v>
                </c:pt>
                <c:pt idx="78">
                  <c:v>0.38213247479950696</c:v>
                </c:pt>
                <c:pt idx="79">
                  <c:v>0.38496921816854529</c:v>
                </c:pt>
                <c:pt idx="80">
                  <c:v>0.38780596153758362</c:v>
                </c:pt>
                <c:pt idx="81">
                  <c:v>0.39064270490662195</c:v>
                </c:pt>
                <c:pt idx="82">
                  <c:v>0.39347944827566028</c:v>
                </c:pt>
                <c:pt idx="83">
                  <c:v>0.39631619164469861</c:v>
                </c:pt>
                <c:pt idx="84">
                  <c:v>0.39915293501373694</c:v>
                </c:pt>
                <c:pt idx="85">
                  <c:v>0.40198967838277527</c:v>
                </c:pt>
                <c:pt idx="86">
                  <c:v>0.4048264217518136</c:v>
                </c:pt>
                <c:pt idx="87">
                  <c:v>0.40766316512085193</c:v>
                </c:pt>
                <c:pt idx="88">
                  <c:v>0.41049990848989026</c:v>
                </c:pt>
                <c:pt idx="89">
                  <c:v>0.41333665185892859</c:v>
                </c:pt>
                <c:pt idx="90">
                  <c:v>0.41617339522796692</c:v>
                </c:pt>
                <c:pt idx="91">
                  <c:v>0.41901013859700525</c:v>
                </c:pt>
                <c:pt idx="92">
                  <c:v>0.42184688196604359</c:v>
                </c:pt>
                <c:pt idx="93">
                  <c:v>0.42468362533508192</c:v>
                </c:pt>
                <c:pt idx="94">
                  <c:v>0.42752036870412025</c:v>
                </c:pt>
                <c:pt idx="95">
                  <c:v>0.43035711207315858</c:v>
                </c:pt>
                <c:pt idx="96">
                  <c:v>0.43319385544219691</c:v>
                </c:pt>
                <c:pt idx="97">
                  <c:v>0.43603059881123524</c:v>
                </c:pt>
                <c:pt idx="98">
                  <c:v>0.43886734218027357</c:v>
                </c:pt>
                <c:pt idx="99">
                  <c:v>0.4417040855493119</c:v>
                </c:pt>
                <c:pt idx="100">
                  <c:v>0.44454082891834962</c:v>
                </c:pt>
              </c:numCache>
            </c:numRef>
          </c:xVal>
          <c:yVal>
            <c:numRef>
              <c:f>Warmtetoevoer!$F$3:$F$103</c:f>
              <c:numCache>
                <c:formatCode>_(* #,##0.00_);_(* \(#,##0.00\);_(* "-"??_);_(@_)</c:formatCode>
                <c:ptCount val="1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numCache>
            </c:numRef>
          </c:yVal>
          <c:smooth val="0"/>
          <c:extLst xmlns:c16r2="http://schemas.microsoft.com/office/drawing/2015/06/chart">
            <c:ext xmlns:c16="http://schemas.microsoft.com/office/drawing/2014/chart" uri="{C3380CC4-5D6E-409C-BE32-E72D297353CC}">
              <c16:uniqueId val="{00000006-C0E1-4358-8A79-3FBCC97CFC5A}"/>
            </c:ext>
          </c:extLst>
        </c:ser>
        <c:ser>
          <c:idx val="5"/>
          <c:order val="2"/>
          <c:tx>
            <c:v>Turbine</c:v>
          </c:tx>
          <c:spPr>
            <a:ln w="19050" cap="rnd">
              <a:solidFill>
                <a:schemeClr val="accent1"/>
              </a:solidFill>
              <a:round/>
            </a:ln>
            <a:effectLst/>
          </c:spPr>
          <c:marker>
            <c:symbol val="none"/>
          </c:marker>
          <c:xVal>
            <c:numRef>
              <c:f>Turbine!$E$3:$E$103</c:f>
              <c:numCache>
                <c:formatCode>_ * #,##0.000_ ;_ * \-#,##0.000_ ;_ * "-"??_ ;_ @_ </c:formatCode>
                <c:ptCount val="101"/>
                <c:pt idx="0">
                  <c:v>0.44454082891834962</c:v>
                </c:pt>
                <c:pt idx="1">
                  <c:v>0.46281253083787882</c:v>
                </c:pt>
                <c:pt idx="2">
                  <c:v>0.48108423275740803</c:v>
                </c:pt>
                <c:pt idx="3">
                  <c:v>0.49935593467693723</c:v>
                </c:pt>
                <c:pt idx="4">
                  <c:v>0.51762763659646649</c:v>
                </c:pt>
                <c:pt idx="5">
                  <c:v>0.53589933851599569</c:v>
                </c:pt>
                <c:pt idx="6">
                  <c:v>0.5541710404355249</c:v>
                </c:pt>
                <c:pt idx="7">
                  <c:v>0.5724427423550541</c:v>
                </c:pt>
                <c:pt idx="8">
                  <c:v>0.59071444427458331</c:v>
                </c:pt>
                <c:pt idx="9">
                  <c:v>0.60898614619411251</c:v>
                </c:pt>
                <c:pt idx="10">
                  <c:v>0.62725784811364171</c:v>
                </c:pt>
                <c:pt idx="11">
                  <c:v>0.64552955003317092</c:v>
                </c:pt>
                <c:pt idx="12">
                  <c:v>0.66380125195270012</c:v>
                </c:pt>
                <c:pt idx="13">
                  <c:v>0.68207295387222933</c:v>
                </c:pt>
                <c:pt idx="14">
                  <c:v>0.70034465579175853</c:v>
                </c:pt>
                <c:pt idx="15">
                  <c:v>0.71861635771128773</c:v>
                </c:pt>
                <c:pt idx="16">
                  <c:v>0.73688805963081694</c:v>
                </c:pt>
                <c:pt idx="17">
                  <c:v>0.75515976155034614</c:v>
                </c:pt>
                <c:pt idx="18">
                  <c:v>0.77343146346987535</c:v>
                </c:pt>
                <c:pt idx="19">
                  <c:v>0.79170316538940455</c:v>
                </c:pt>
                <c:pt idx="20">
                  <c:v>0.80997486730893375</c:v>
                </c:pt>
                <c:pt idx="21">
                  <c:v>0.82824656922846296</c:v>
                </c:pt>
                <c:pt idx="22">
                  <c:v>0.84651827114799216</c:v>
                </c:pt>
                <c:pt idx="23">
                  <c:v>0.86478997306752137</c:v>
                </c:pt>
                <c:pt idx="24">
                  <c:v>0.88306167498705057</c:v>
                </c:pt>
                <c:pt idx="25">
                  <c:v>0.90133337690657978</c:v>
                </c:pt>
                <c:pt idx="26">
                  <c:v>0.91960507882610898</c:v>
                </c:pt>
                <c:pt idx="27">
                  <c:v>0.93787678074563818</c:v>
                </c:pt>
                <c:pt idx="28">
                  <c:v>0.95614848266516739</c:v>
                </c:pt>
                <c:pt idx="29">
                  <c:v>0.97442018458469659</c:v>
                </c:pt>
                <c:pt idx="30">
                  <c:v>0.9926918865042258</c:v>
                </c:pt>
                <c:pt idx="31">
                  <c:v>1.0109635884237551</c:v>
                </c:pt>
                <c:pt idx="32">
                  <c:v>1.0292352903432844</c:v>
                </c:pt>
                <c:pt idx="33">
                  <c:v>1.0475069922628137</c:v>
                </c:pt>
                <c:pt idx="34">
                  <c:v>1.0657786941823431</c:v>
                </c:pt>
                <c:pt idx="35">
                  <c:v>1.0840503961018724</c:v>
                </c:pt>
                <c:pt idx="36">
                  <c:v>1.1023220980214017</c:v>
                </c:pt>
                <c:pt idx="37">
                  <c:v>1.120593799940931</c:v>
                </c:pt>
                <c:pt idx="38">
                  <c:v>1.1388655018604603</c:v>
                </c:pt>
                <c:pt idx="39">
                  <c:v>1.1571372037799896</c:v>
                </c:pt>
                <c:pt idx="40">
                  <c:v>1.1754089056995189</c:v>
                </c:pt>
                <c:pt idx="41">
                  <c:v>1.1936806076190483</c:v>
                </c:pt>
                <c:pt idx="42">
                  <c:v>1.2119523095385776</c:v>
                </c:pt>
                <c:pt idx="43">
                  <c:v>1.2302240114581069</c:v>
                </c:pt>
                <c:pt idx="44">
                  <c:v>1.2484957133776362</c:v>
                </c:pt>
                <c:pt idx="45">
                  <c:v>1.2667674152971655</c:v>
                </c:pt>
                <c:pt idx="46">
                  <c:v>1.2850391172166948</c:v>
                </c:pt>
                <c:pt idx="47">
                  <c:v>1.3033108191362242</c:v>
                </c:pt>
                <c:pt idx="48">
                  <c:v>1.3215825210557535</c:v>
                </c:pt>
                <c:pt idx="49">
                  <c:v>1.3398542229752828</c:v>
                </c:pt>
                <c:pt idx="50">
                  <c:v>1.3581259248948121</c:v>
                </c:pt>
                <c:pt idx="51">
                  <c:v>1.3763976268143414</c:v>
                </c:pt>
                <c:pt idx="52">
                  <c:v>1.3946693287338707</c:v>
                </c:pt>
                <c:pt idx="53">
                  <c:v>1.4129410306534</c:v>
                </c:pt>
                <c:pt idx="54">
                  <c:v>1.4312127325729294</c:v>
                </c:pt>
                <c:pt idx="55">
                  <c:v>1.4494844344924587</c:v>
                </c:pt>
                <c:pt idx="56">
                  <c:v>1.467756136411988</c:v>
                </c:pt>
                <c:pt idx="57">
                  <c:v>1.4860278383315173</c:v>
                </c:pt>
                <c:pt idx="58">
                  <c:v>1.5042995402510466</c:v>
                </c:pt>
                <c:pt idx="59">
                  <c:v>1.5225712421705759</c:v>
                </c:pt>
                <c:pt idx="60">
                  <c:v>1.5408429440901052</c:v>
                </c:pt>
                <c:pt idx="61">
                  <c:v>1.5591146460096346</c:v>
                </c:pt>
                <c:pt idx="62">
                  <c:v>1.5773863479291639</c:v>
                </c:pt>
                <c:pt idx="63">
                  <c:v>1.5956580498486932</c:v>
                </c:pt>
                <c:pt idx="64">
                  <c:v>1.6139297517682225</c:v>
                </c:pt>
                <c:pt idx="65">
                  <c:v>1.6322014536877518</c:v>
                </c:pt>
                <c:pt idx="66">
                  <c:v>1.6504731556072811</c:v>
                </c:pt>
                <c:pt idx="67">
                  <c:v>1.6687448575268105</c:v>
                </c:pt>
                <c:pt idx="68">
                  <c:v>1.6870165594463398</c:v>
                </c:pt>
                <c:pt idx="69">
                  <c:v>1.7052882613658691</c:v>
                </c:pt>
                <c:pt idx="70">
                  <c:v>1.7235599632853984</c:v>
                </c:pt>
                <c:pt idx="71">
                  <c:v>1.7418316652049277</c:v>
                </c:pt>
                <c:pt idx="72">
                  <c:v>1.760103367124457</c:v>
                </c:pt>
                <c:pt idx="73">
                  <c:v>1.7783750690439863</c:v>
                </c:pt>
                <c:pt idx="74">
                  <c:v>1.7966467709635157</c:v>
                </c:pt>
                <c:pt idx="75">
                  <c:v>1.814918472883045</c:v>
                </c:pt>
                <c:pt idx="76">
                  <c:v>1.8331901748025743</c:v>
                </c:pt>
                <c:pt idx="77">
                  <c:v>1.8514618767221036</c:v>
                </c:pt>
                <c:pt idx="78">
                  <c:v>1.8697335786416329</c:v>
                </c:pt>
                <c:pt idx="79">
                  <c:v>1.8880052805611622</c:v>
                </c:pt>
                <c:pt idx="80">
                  <c:v>1.9062769824806916</c:v>
                </c:pt>
                <c:pt idx="81">
                  <c:v>1.9245486844002209</c:v>
                </c:pt>
                <c:pt idx="82">
                  <c:v>1.9428203863197502</c:v>
                </c:pt>
                <c:pt idx="83">
                  <c:v>1.9610920882392795</c:v>
                </c:pt>
                <c:pt idx="84">
                  <c:v>1.9793637901588088</c:v>
                </c:pt>
                <c:pt idx="85">
                  <c:v>1.9976354920783381</c:v>
                </c:pt>
                <c:pt idx="86">
                  <c:v>2.0159071939978674</c:v>
                </c:pt>
                <c:pt idx="87">
                  <c:v>2.0341788959173965</c:v>
                </c:pt>
                <c:pt idx="88">
                  <c:v>2.0524505978369256</c:v>
                </c:pt>
                <c:pt idx="89">
                  <c:v>2.0707222997564547</c:v>
                </c:pt>
                <c:pt idx="90">
                  <c:v>2.0889940016759838</c:v>
                </c:pt>
                <c:pt idx="91">
                  <c:v>2.1072657035955129</c:v>
                </c:pt>
                <c:pt idx="92">
                  <c:v>2.125537405515042</c:v>
                </c:pt>
                <c:pt idx="93">
                  <c:v>2.1438091074345711</c:v>
                </c:pt>
                <c:pt idx="94">
                  <c:v>2.1620808093541002</c:v>
                </c:pt>
                <c:pt idx="95">
                  <c:v>2.1803525112736293</c:v>
                </c:pt>
                <c:pt idx="96">
                  <c:v>2.1986242131931584</c:v>
                </c:pt>
                <c:pt idx="97">
                  <c:v>2.2168959151126875</c:v>
                </c:pt>
                <c:pt idx="98">
                  <c:v>2.2351676170322166</c:v>
                </c:pt>
                <c:pt idx="99">
                  <c:v>2.2534393189517457</c:v>
                </c:pt>
                <c:pt idx="100">
                  <c:v>2.2717110208712703</c:v>
                </c:pt>
              </c:numCache>
            </c:numRef>
          </c:xVal>
          <c:yVal>
            <c:numRef>
              <c:f>Turbine!$F$3:$F$103</c:f>
              <c:numCache>
                <c:formatCode>_(* #,##0.00_);_(* \(#,##0.00\);_(* "-"??_);_(@_)</c:formatCode>
                <c:ptCount val="101"/>
                <c:pt idx="0">
                  <c:v>10</c:v>
                </c:pt>
                <c:pt idx="1">
                  <c:v>9.4503009801460802</c:v>
                </c:pt>
                <c:pt idx="2">
                  <c:v>8.9503940659528016</c:v>
                </c:pt>
                <c:pt idx="3">
                  <c:v>8.494124854197965</c:v>
                </c:pt>
                <c:pt idx="4">
                  <c:v>8.0762886063258836</c:v>
                </c:pt>
                <c:pt idx="5">
                  <c:v>7.6924565262786251</c:v>
                </c:pt>
                <c:pt idx="6">
                  <c:v>7.3388384638978135</c:v>
                </c:pt>
                <c:pt idx="7">
                  <c:v>7.0121734938425142</c:v>
                </c:pt>
                <c:pt idx="8">
                  <c:v>6.7096420278954696</c:v>
                </c:pt>
                <c:pt idx="9">
                  <c:v>6.4287947074838891</c:v>
                </c:pt>
                <c:pt idx="10">
                  <c:v>6.1674944796356677</c:v>
                </c:pt>
                <c:pt idx="11">
                  <c:v>5.9238691100360512</c:v>
                </c:pt>
                <c:pt idx="12">
                  <c:v>5.6962720184448141</c:v>
                </c:pt>
                <c:pt idx="13">
                  <c:v>5.4832497951252526</c:v>
                </c:pt>
                <c:pt idx="14">
                  <c:v>5.2835151148266597</c:v>
                </c:pt>
                <c:pt idx="15">
                  <c:v>5.0959240376398558</c:v>
                </c:pt>
                <c:pt idx="16">
                  <c:v>4.9194568955514582</c:v>
                </c:pt>
                <c:pt idx="17">
                  <c:v>4.7532021256027415</c:v>
                </c:pt>
                <c:pt idx="18">
                  <c:v>4.5963425368110284</c:v>
                </c:pt>
                <c:pt idx="19">
                  <c:v>4.4481435969964371</c:v>
                </c:pt>
                <c:pt idx="20">
                  <c:v>4.3079434037431756</c:v>
                </c:pt>
                <c:pt idx="21">
                  <c:v>4.1751440656868342</c:v>
                </c:pt>
                <c:pt idx="22">
                  <c:v>4.0492042697614101</c:v>
                </c:pt>
                <c:pt idx="23">
                  <c:v>3.9296328497021511</c:v>
                </c:pt>
                <c:pt idx="24">
                  <c:v>3.8159832030787251</c:v>
                </c:pt>
                <c:pt idx="25">
                  <c:v>3.7078484300414791</c:v>
                </c:pt>
                <c:pt idx="26">
                  <c:v>3.604857088051034</c:v>
                </c:pt>
                <c:pt idx="27">
                  <c:v>3.5066694741015292</c:v>
                </c:pt>
                <c:pt idx="28">
                  <c:v>3.4129743601020217</c:v>
                </c:pt>
                <c:pt idx="29">
                  <c:v>3.3234861187487752</c:v>
                </c:pt>
                <c:pt idx="30">
                  <c:v>3.2379421868774942</c:v>
                </c:pt>
                <c:pt idx="31">
                  <c:v>3.1561008213058708</c:v>
                </c:pt>
                <c:pt idx="32">
                  <c:v>3.0777391088640327</c:v>
                </c:pt>
                <c:pt idx="33">
                  <c:v>3.0026511979047452</c:v>
                </c:pt>
                <c:pt idx="34">
                  <c:v>2.9306467232808346</c:v>
                </c:pt>
                <c:pt idx="35">
                  <c:v>2.8615494007312439</c:v>
                </c:pt>
                <c:pt idx="36">
                  <c:v>2.7951957699569268</c:v>
                </c:pt>
                <c:pt idx="37">
                  <c:v>2.7314340684971969</c:v>
                </c:pt>
                <c:pt idx="38">
                  <c:v>2.6701232209210808</c:v>
                </c:pt>
                <c:pt idx="39">
                  <c:v>2.6111319298964357</c:v>
                </c:pt>
                <c:pt idx="40">
                  <c:v>2.5543378574492963</c:v>
                </c:pt>
                <c:pt idx="41">
                  <c:v>2.499626886224608</c:v>
                </c:pt>
                <c:pt idx="42">
                  <c:v>2.446892451846352</c:v>
                </c:pt>
                <c:pt idx="43">
                  <c:v>2.3960349385827633</c:v>
                </c:pt>
                <c:pt idx="44">
                  <c:v>2.3469611314780412</c:v>
                </c:pt>
                <c:pt idx="45">
                  <c:v>2.2995837189384432</c:v>
                </c:pt>
                <c:pt idx="46">
                  <c:v>2.2538208404768687</c:v>
                </c:pt>
                <c:pt idx="47">
                  <c:v>2.2095956749422574</c:v>
                </c:pt>
                <c:pt idx="48">
                  <c:v>2.1668360651015175</c:v>
                </c:pt>
                <c:pt idx="49">
                  <c:v>2.1254741749139741</c:v>
                </c:pt>
                <c:pt idx="50">
                  <c:v>2.0854461762509757</c:v>
                </c:pt>
                <c:pt idx="51">
                  <c:v>2.0466919621745649</c:v>
                </c:pt>
                <c:pt idx="52">
                  <c:v>2.0091548842060334</c:v>
                </c:pt>
                <c:pt idx="53">
                  <c:v>1.9727815112936127</c:v>
                </c:pt>
                <c:pt idx="54">
                  <c:v>1.9375214084337038</c:v>
                </c:pt>
                <c:pt idx="55">
                  <c:v>1.9033269331161506</c:v>
                </c:pt>
                <c:pt idx="56">
                  <c:v>1.8701530479550021</c:v>
                </c:pt>
                <c:pt idx="57">
                  <c:v>1.8379571480350456</c:v>
                </c:pt>
                <c:pt idx="58">
                  <c:v>1.8066989016540784</c:v>
                </c:pt>
                <c:pt idx="59">
                  <c:v>1.7763401032736603</c:v>
                </c:pt>
                <c:pt idx="60">
                  <c:v>1.7468445376091111</c:v>
                </c:pt>
                <c:pt idx="61">
                  <c:v>1.7181778538945773</c:v>
                </c:pt>
                <c:pt idx="62">
                  <c:v>1.6903074494526238</c:v>
                </c:pt>
                <c:pt idx="63">
                  <c:v>1.6632023617813789</c:v>
                </c:pt>
                <c:pt idx="64">
                  <c:v>1.6368331684469508</c:v>
                </c:pt>
                <c:pt idx="65">
                  <c:v>1.6111718941357112</c:v>
                </c:pt>
                <c:pt idx="66">
                  <c:v>1.5861919242809213</c:v>
                </c:pt>
                <c:pt idx="67">
                  <c:v>1.5618679247319549</c:v>
                </c:pt>
                <c:pt idx="68">
                  <c:v>1.5381757669826388</c:v>
                </c:pt>
                <c:pt idx="69">
                  <c:v>1.5150924585187036</c:v>
                </c:pt>
                <c:pt idx="70">
                  <c:v>1.4925960778834213</c:v>
                </c:pt>
                <c:pt idx="71">
                  <c:v>1.4706657140957755</c:v>
                </c:pt>
                <c:pt idx="72">
                  <c:v>1.4492814100873719</c:v>
                </c:pt>
                <c:pt idx="73">
                  <c:v>1.428424109853015</c:v>
                </c:pt>
                <c:pt idx="74">
                  <c:v>1.4080756090359248</c:v>
                </c:pt>
                <c:pt idx="75">
                  <c:v>1.3882185086921104</c:v>
                </c:pt>
                <c:pt idx="76">
                  <c:v>1.3688361719997872</c:v>
                </c:pt>
                <c:pt idx="77">
                  <c:v>1.3499126836990762</c:v>
                </c:pt>
                <c:pt idx="78">
                  <c:v>1.3314328120648586</c:v>
                </c:pt>
                <c:pt idx="79">
                  <c:v>1.3133819732316299</c:v>
                </c:pt>
                <c:pt idx="80">
                  <c:v>1.2957461977037803</c:v>
                </c:pt>
                <c:pt idx="81">
                  <c:v>1.2785120988979781</c:v>
                </c:pt>
                <c:pt idx="82">
                  <c:v>1.2616668435764433</c:v>
                </c:pt>
                <c:pt idx="83">
                  <c:v>1.2451981240409147</c:v>
                </c:pt>
                <c:pt idx="84">
                  <c:v>1.2290941319672153</c:v>
                </c:pt>
                <c:pt idx="85">
                  <c:v>1.2133435337695144</c:v>
                </c:pt>
                <c:pt idx="86">
                  <c:v>1.1979354473918378</c:v>
                </c:pt>
                <c:pt idx="87">
                  <c:v>1.1828594204320726</c:v>
                </c:pt>
                <c:pt idx="88">
                  <c:v>1.1681054095108121</c:v>
                </c:pt>
                <c:pt idx="89">
                  <c:v>1.1536637608038565</c:v>
                </c:pt>
                <c:pt idx="90">
                  <c:v>1.1395251916631555</c:v>
                </c:pt>
                <c:pt idx="91">
                  <c:v>1.1256807732564384</c:v>
                </c:pt>
                <c:pt idx="92">
                  <c:v>1.1121219141608103</c:v>
                </c:pt>
                <c:pt idx="93">
                  <c:v>1.098840344850232</c:v>
                </c:pt>
                <c:pt idx="94">
                  <c:v>1.0858281030210413</c:v>
                </c:pt>
                <c:pt idx="95">
                  <c:v>1.0730775197036182</c:v>
                </c:pt>
                <c:pt idx="96">
                  <c:v>1.0605812061118955</c:v>
                </c:pt>
                <c:pt idx="97">
                  <c:v>1.0483320411857797</c:v>
                </c:pt>
                <c:pt idx="98">
                  <c:v>1.0363231597846028</c:v>
                </c:pt>
                <c:pt idx="99">
                  <c:v>1.0245479414925949</c:v>
                </c:pt>
                <c:pt idx="100">
                  <c:v>1.0130000000000003</c:v>
                </c:pt>
              </c:numCache>
            </c:numRef>
          </c:yVal>
          <c:smooth val="0"/>
          <c:extLst xmlns:c16r2="http://schemas.microsoft.com/office/drawing/2015/06/chart">
            <c:ext xmlns:c16="http://schemas.microsoft.com/office/drawing/2014/chart" uri="{C3380CC4-5D6E-409C-BE32-E72D297353CC}">
              <c16:uniqueId val="{00000007-C0E1-4358-8A79-3FBCC97CFC5A}"/>
            </c:ext>
          </c:extLst>
        </c:ser>
        <c:ser>
          <c:idx val="7"/>
          <c:order val="3"/>
          <c:tx>
            <c:v>Koeling</c:v>
          </c:tx>
          <c:spPr>
            <a:ln w="12700" cap="rnd">
              <a:solidFill>
                <a:schemeClr val="accent1"/>
              </a:solidFill>
              <a:prstDash val="sysDash"/>
              <a:round/>
            </a:ln>
            <a:effectLst/>
          </c:spPr>
          <c:marker>
            <c:symbol val="circle"/>
            <c:size val="5"/>
            <c:spPr>
              <a:noFill/>
              <a:ln w="9525">
                <a:noFill/>
              </a:ln>
              <a:effectLst/>
            </c:spPr>
          </c:marker>
          <c:xVal>
            <c:numRef>
              <c:f>Koeling!$E$3:$E$103</c:f>
              <c:numCache>
                <c:formatCode>_ * #,##0.000_ ;_ * \-#,##0.000_ ;_ * "-"??_ ;_ @_ </c:formatCode>
                <c:ptCount val="101"/>
                <c:pt idx="0">
                  <c:v>2.2717110208712703</c:v>
                </c:pt>
                <c:pt idx="1">
                  <c:v>2.2572145770001688</c:v>
                </c:pt>
                <c:pt idx="2">
                  <c:v>2.2427181331290673</c:v>
                </c:pt>
                <c:pt idx="3">
                  <c:v>2.2282216892579658</c:v>
                </c:pt>
                <c:pt idx="4">
                  <c:v>2.2137252453868643</c:v>
                </c:pt>
                <c:pt idx="5">
                  <c:v>2.1992288015157628</c:v>
                </c:pt>
                <c:pt idx="6">
                  <c:v>2.1847323576446613</c:v>
                </c:pt>
                <c:pt idx="7">
                  <c:v>2.1702359137735598</c:v>
                </c:pt>
                <c:pt idx="8">
                  <c:v>2.1557394699024583</c:v>
                </c:pt>
                <c:pt idx="9">
                  <c:v>2.1412430260313569</c:v>
                </c:pt>
                <c:pt idx="10">
                  <c:v>2.1267465821602554</c:v>
                </c:pt>
                <c:pt idx="11">
                  <c:v>2.1122501382891539</c:v>
                </c:pt>
                <c:pt idx="12">
                  <c:v>2.0977536944180524</c:v>
                </c:pt>
                <c:pt idx="13">
                  <c:v>2.0832572505469509</c:v>
                </c:pt>
                <c:pt idx="14">
                  <c:v>2.0687608066758494</c:v>
                </c:pt>
                <c:pt idx="15">
                  <c:v>2.0542643628047479</c:v>
                </c:pt>
                <c:pt idx="16">
                  <c:v>2.0397679189336464</c:v>
                </c:pt>
                <c:pt idx="17">
                  <c:v>2.0252714750625449</c:v>
                </c:pt>
                <c:pt idx="18">
                  <c:v>2.0107750311914434</c:v>
                </c:pt>
                <c:pt idx="19">
                  <c:v>1.9962785873203417</c:v>
                </c:pt>
                <c:pt idx="20">
                  <c:v>1.98178214344924</c:v>
                </c:pt>
                <c:pt idx="21">
                  <c:v>1.9672856995781383</c:v>
                </c:pt>
                <c:pt idx="22">
                  <c:v>1.9527892557070365</c:v>
                </c:pt>
                <c:pt idx="23">
                  <c:v>1.9382928118359348</c:v>
                </c:pt>
                <c:pt idx="24">
                  <c:v>1.9237963679648331</c:v>
                </c:pt>
                <c:pt idx="25">
                  <c:v>1.9092999240937314</c:v>
                </c:pt>
                <c:pt idx="26">
                  <c:v>1.8948034802226297</c:v>
                </c:pt>
                <c:pt idx="27">
                  <c:v>1.880307036351528</c:v>
                </c:pt>
                <c:pt idx="28">
                  <c:v>1.8658105924804262</c:v>
                </c:pt>
                <c:pt idx="29">
                  <c:v>1.8513141486093245</c:v>
                </c:pt>
                <c:pt idx="30">
                  <c:v>1.8368177047382228</c:v>
                </c:pt>
                <c:pt idx="31">
                  <c:v>1.8223212608671211</c:v>
                </c:pt>
                <c:pt idx="32">
                  <c:v>1.8078248169960194</c:v>
                </c:pt>
                <c:pt idx="33">
                  <c:v>1.7933283731249177</c:v>
                </c:pt>
                <c:pt idx="34">
                  <c:v>1.7788319292538159</c:v>
                </c:pt>
                <c:pt idx="35">
                  <c:v>1.7643354853827142</c:v>
                </c:pt>
                <c:pt idx="36">
                  <c:v>1.7498390415116125</c:v>
                </c:pt>
                <c:pt idx="37">
                  <c:v>1.7353425976405108</c:v>
                </c:pt>
                <c:pt idx="38">
                  <c:v>1.7208461537694091</c:v>
                </c:pt>
                <c:pt idx="39">
                  <c:v>1.7063497098983074</c:v>
                </c:pt>
                <c:pt idx="40">
                  <c:v>1.6918532660272056</c:v>
                </c:pt>
                <c:pt idx="41">
                  <c:v>1.6773568221561039</c:v>
                </c:pt>
                <c:pt idx="42">
                  <c:v>1.6628603782850022</c:v>
                </c:pt>
                <c:pt idx="43">
                  <c:v>1.6483639344139005</c:v>
                </c:pt>
                <c:pt idx="44">
                  <c:v>1.6338674905427988</c:v>
                </c:pt>
                <c:pt idx="45">
                  <c:v>1.6193710466716971</c:v>
                </c:pt>
                <c:pt idx="46">
                  <c:v>1.6048746028005954</c:v>
                </c:pt>
                <c:pt idx="47">
                  <c:v>1.5903781589294936</c:v>
                </c:pt>
                <c:pt idx="48">
                  <c:v>1.5758817150583919</c:v>
                </c:pt>
                <c:pt idx="49">
                  <c:v>1.5613852711872902</c:v>
                </c:pt>
                <c:pt idx="50">
                  <c:v>1.5468888273161885</c:v>
                </c:pt>
                <c:pt idx="51">
                  <c:v>1.5323923834450868</c:v>
                </c:pt>
                <c:pt idx="52">
                  <c:v>1.5178959395739851</c:v>
                </c:pt>
                <c:pt idx="53">
                  <c:v>1.5033994957028833</c:v>
                </c:pt>
                <c:pt idx="54">
                  <c:v>1.4889030518317816</c:v>
                </c:pt>
                <c:pt idx="55">
                  <c:v>1.4744066079606799</c:v>
                </c:pt>
                <c:pt idx="56">
                  <c:v>1.4599101640895782</c:v>
                </c:pt>
                <c:pt idx="57">
                  <c:v>1.4454137202184765</c:v>
                </c:pt>
                <c:pt idx="58">
                  <c:v>1.4309172763473748</c:v>
                </c:pt>
                <c:pt idx="59">
                  <c:v>1.416420832476273</c:v>
                </c:pt>
                <c:pt idx="60">
                  <c:v>1.4019243886051713</c:v>
                </c:pt>
                <c:pt idx="61">
                  <c:v>1.3874279447340696</c:v>
                </c:pt>
                <c:pt idx="62">
                  <c:v>1.3729315008629679</c:v>
                </c:pt>
                <c:pt idx="63">
                  <c:v>1.3584350569918662</c:v>
                </c:pt>
                <c:pt idx="64">
                  <c:v>1.3439386131207645</c:v>
                </c:pt>
                <c:pt idx="65">
                  <c:v>1.3294421692496627</c:v>
                </c:pt>
                <c:pt idx="66">
                  <c:v>1.314945725378561</c:v>
                </c:pt>
                <c:pt idx="67">
                  <c:v>1.3004492815074593</c:v>
                </c:pt>
                <c:pt idx="68">
                  <c:v>1.2859528376363576</c:v>
                </c:pt>
                <c:pt idx="69">
                  <c:v>1.2714563937652559</c:v>
                </c:pt>
                <c:pt idx="70">
                  <c:v>1.2569599498941542</c:v>
                </c:pt>
                <c:pt idx="71">
                  <c:v>1.2424635060230524</c:v>
                </c:pt>
                <c:pt idx="72">
                  <c:v>1.2279670621519507</c:v>
                </c:pt>
                <c:pt idx="73">
                  <c:v>1.213470618280849</c:v>
                </c:pt>
                <c:pt idx="74">
                  <c:v>1.1989741744097473</c:v>
                </c:pt>
                <c:pt idx="75">
                  <c:v>1.1844777305386456</c:v>
                </c:pt>
                <c:pt idx="76">
                  <c:v>1.1699812866675439</c:v>
                </c:pt>
                <c:pt idx="77">
                  <c:v>1.1554848427964421</c:v>
                </c:pt>
                <c:pt idx="78">
                  <c:v>1.1409883989253404</c:v>
                </c:pt>
                <c:pt idx="79">
                  <c:v>1.1264919550542387</c:v>
                </c:pt>
                <c:pt idx="80">
                  <c:v>1.111995511183137</c:v>
                </c:pt>
                <c:pt idx="81">
                  <c:v>1.0974990673120353</c:v>
                </c:pt>
                <c:pt idx="82">
                  <c:v>1.0830026234409336</c:v>
                </c:pt>
                <c:pt idx="83">
                  <c:v>1.0685061795698318</c:v>
                </c:pt>
                <c:pt idx="84">
                  <c:v>1.0540097356987301</c:v>
                </c:pt>
                <c:pt idx="85">
                  <c:v>1.0395132918276284</c:v>
                </c:pt>
                <c:pt idx="86">
                  <c:v>1.0250168479565267</c:v>
                </c:pt>
                <c:pt idx="87">
                  <c:v>1.010520404085425</c:v>
                </c:pt>
                <c:pt idx="88">
                  <c:v>0.99602396021432338</c:v>
                </c:pt>
                <c:pt idx="89">
                  <c:v>0.98152751634322177</c:v>
                </c:pt>
                <c:pt idx="90">
                  <c:v>0.96703107247212017</c:v>
                </c:pt>
                <c:pt idx="91">
                  <c:v>0.95253462860101856</c:v>
                </c:pt>
                <c:pt idx="92">
                  <c:v>0.93803818472991696</c:v>
                </c:pt>
                <c:pt idx="93">
                  <c:v>0.92354174085881535</c:v>
                </c:pt>
                <c:pt idx="94">
                  <c:v>0.90904529698771375</c:v>
                </c:pt>
                <c:pt idx="95">
                  <c:v>0.89454885311661214</c:v>
                </c:pt>
                <c:pt idx="96">
                  <c:v>0.88005240924551054</c:v>
                </c:pt>
                <c:pt idx="97">
                  <c:v>0.86555596537440893</c:v>
                </c:pt>
                <c:pt idx="98">
                  <c:v>0.85105952150330733</c:v>
                </c:pt>
                <c:pt idx="99">
                  <c:v>0.83656307763220572</c:v>
                </c:pt>
                <c:pt idx="100">
                  <c:v>0.82206663376110567</c:v>
                </c:pt>
              </c:numCache>
            </c:numRef>
          </c:xVal>
          <c:yVal>
            <c:numRef>
              <c:f>Koeling!$F$3:$F$103</c:f>
              <c:numCache>
                <c:formatCode>_(* #,##0.00_);_(* \(#,##0.00\);_(* "-"??_);_(@_)</c:formatCode>
                <c:ptCount val="101"/>
                <c:pt idx="0">
                  <c:v>1.0129999999999999</c:v>
                </c:pt>
                <c:pt idx="1">
                  <c:v>1.0129999999999999</c:v>
                </c:pt>
                <c:pt idx="2">
                  <c:v>1.0129999999999999</c:v>
                </c:pt>
                <c:pt idx="3">
                  <c:v>1.0129999999999999</c:v>
                </c:pt>
                <c:pt idx="4">
                  <c:v>1.0129999999999999</c:v>
                </c:pt>
                <c:pt idx="5">
                  <c:v>1.0129999999999999</c:v>
                </c:pt>
                <c:pt idx="6">
                  <c:v>1.0129999999999999</c:v>
                </c:pt>
                <c:pt idx="7">
                  <c:v>1.0129999999999999</c:v>
                </c:pt>
                <c:pt idx="8">
                  <c:v>1.0129999999999999</c:v>
                </c:pt>
                <c:pt idx="9">
                  <c:v>1.0129999999999999</c:v>
                </c:pt>
                <c:pt idx="10">
                  <c:v>1.0129999999999999</c:v>
                </c:pt>
                <c:pt idx="11">
                  <c:v>1.0129999999999999</c:v>
                </c:pt>
                <c:pt idx="12">
                  <c:v>1.0129999999999999</c:v>
                </c:pt>
                <c:pt idx="13">
                  <c:v>1.0129999999999999</c:v>
                </c:pt>
                <c:pt idx="14">
                  <c:v>1.0129999999999999</c:v>
                </c:pt>
                <c:pt idx="15">
                  <c:v>1.0129999999999999</c:v>
                </c:pt>
                <c:pt idx="16">
                  <c:v>1.0129999999999999</c:v>
                </c:pt>
                <c:pt idx="17">
                  <c:v>1.0129999999999999</c:v>
                </c:pt>
                <c:pt idx="18">
                  <c:v>1.0129999999999999</c:v>
                </c:pt>
                <c:pt idx="19">
                  <c:v>1.0129999999999999</c:v>
                </c:pt>
                <c:pt idx="20">
                  <c:v>1.0129999999999999</c:v>
                </c:pt>
                <c:pt idx="21">
                  <c:v>1.0129999999999999</c:v>
                </c:pt>
                <c:pt idx="22">
                  <c:v>1.0129999999999999</c:v>
                </c:pt>
                <c:pt idx="23">
                  <c:v>1.0129999999999999</c:v>
                </c:pt>
                <c:pt idx="24">
                  <c:v>1.0129999999999999</c:v>
                </c:pt>
                <c:pt idx="25">
                  <c:v>1.0129999999999999</c:v>
                </c:pt>
                <c:pt idx="26">
                  <c:v>1.0129999999999999</c:v>
                </c:pt>
                <c:pt idx="27">
                  <c:v>1.0129999999999999</c:v>
                </c:pt>
                <c:pt idx="28">
                  <c:v>1.0129999999999999</c:v>
                </c:pt>
                <c:pt idx="29">
                  <c:v>1.0129999999999999</c:v>
                </c:pt>
                <c:pt idx="30">
                  <c:v>1.0129999999999999</c:v>
                </c:pt>
                <c:pt idx="31">
                  <c:v>1.0129999999999999</c:v>
                </c:pt>
                <c:pt idx="32">
                  <c:v>1.0129999999999999</c:v>
                </c:pt>
                <c:pt idx="33">
                  <c:v>1.0129999999999999</c:v>
                </c:pt>
                <c:pt idx="34">
                  <c:v>1.0129999999999999</c:v>
                </c:pt>
                <c:pt idx="35">
                  <c:v>1.0129999999999999</c:v>
                </c:pt>
                <c:pt idx="36">
                  <c:v>1.0129999999999999</c:v>
                </c:pt>
                <c:pt idx="37">
                  <c:v>1.0129999999999999</c:v>
                </c:pt>
                <c:pt idx="38">
                  <c:v>1.0129999999999999</c:v>
                </c:pt>
                <c:pt idx="39">
                  <c:v>1.0129999999999999</c:v>
                </c:pt>
                <c:pt idx="40">
                  <c:v>1.0129999999999999</c:v>
                </c:pt>
                <c:pt idx="41">
                  <c:v>1.0129999999999999</c:v>
                </c:pt>
                <c:pt idx="42">
                  <c:v>1.0129999999999999</c:v>
                </c:pt>
                <c:pt idx="43">
                  <c:v>1.0129999999999999</c:v>
                </c:pt>
                <c:pt idx="44">
                  <c:v>1.0129999999999999</c:v>
                </c:pt>
                <c:pt idx="45">
                  <c:v>1.0129999999999999</c:v>
                </c:pt>
                <c:pt idx="46">
                  <c:v>1.0129999999999999</c:v>
                </c:pt>
                <c:pt idx="47">
                  <c:v>1.0129999999999999</c:v>
                </c:pt>
                <c:pt idx="48">
                  <c:v>1.0129999999999999</c:v>
                </c:pt>
                <c:pt idx="49">
                  <c:v>1.0129999999999999</c:v>
                </c:pt>
                <c:pt idx="50">
                  <c:v>1.0129999999999999</c:v>
                </c:pt>
                <c:pt idx="51">
                  <c:v>1.0129999999999999</c:v>
                </c:pt>
                <c:pt idx="52">
                  <c:v>1.0129999999999999</c:v>
                </c:pt>
                <c:pt idx="53">
                  <c:v>1.0129999999999999</c:v>
                </c:pt>
                <c:pt idx="54">
                  <c:v>1.0129999999999999</c:v>
                </c:pt>
                <c:pt idx="55">
                  <c:v>1.0129999999999999</c:v>
                </c:pt>
                <c:pt idx="56">
                  <c:v>1.0129999999999999</c:v>
                </c:pt>
                <c:pt idx="57">
                  <c:v>1.0129999999999999</c:v>
                </c:pt>
                <c:pt idx="58">
                  <c:v>1.0129999999999999</c:v>
                </c:pt>
                <c:pt idx="59">
                  <c:v>1.0129999999999999</c:v>
                </c:pt>
                <c:pt idx="60">
                  <c:v>1.0129999999999999</c:v>
                </c:pt>
                <c:pt idx="61">
                  <c:v>1.0129999999999999</c:v>
                </c:pt>
                <c:pt idx="62">
                  <c:v>1.0129999999999999</c:v>
                </c:pt>
                <c:pt idx="63">
                  <c:v>1.0129999999999999</c:v>
                </c:pt>
                <c:pt idx="64">
                  <c:v>1.0129999999999999</c:v>
                </c:pt>
                <c:pt idx="65">
                  <c:v>1.0129999999999999</c:v>
                </c:pt>
                <c:pt idx="66">
                  <c:v>1.0129999999999999</c:v>
                </c:pt>
                <c:pt idx="67">
                  <c:v>1.0129999999999999</c:v>
                </c:pt>
                <c:pt idx="68">
                  <c:v>1.0129999999999999</c:v>
                </c:pt>
                <c:pt idx="69">
                  <c:v>1.0129999999999999</c:v>
                </c:pt>
                <c:pt idx="70">
                  <c:v>1.0129999999999999</c:v>
                </c:pt>
                <c:pt idx="71">
                  <c:v>1.0129999999999999</c:v>
                </c:pt>
                <c:pt idx="72">
                  <c:v>1.0129999999999999</c:v>
                </c:pt>
                <c:pt idx="73">
                  <c:v>1.0129999999999999</c:v>
                </c:pt>
                <c:pt idx="74">
                  <c:v>1.0129999999999999</c:v>
                </c:pt>
                <c:pt idx="75">
                  <c:v>1.0129999999999999</c:v>
                </c:pt>
                <c:pt idx="76">
                  <c:v>1.0129999999999999</c:v>
                </c:pt>
                <c:pt idx="77">
                  <c:v>1.0129999999999999</c:v>
                </c:pt>
                <c:pt idx="78">
                  <c:v>1.0129999999999999</c:v>
                </c:pt>
                <c:pt idx="79">
                  <c:v>1.0129999999999999</c:v>
                </c:pt>
                <c:pt idx="80">
                  <c:v>1.0129999999999999</c:v>
                </c:pt>
                <c:pt idx="81">
                  <c:v>1.0129999999999999</c:v>
                </c:pt>
                <c:pt idx="82">
                  <c:v>1.0129999999999999</c:v>
                </c:pt>
                <c:pt idx="83">
                  <c:v>1.0129999999999999</c:v>
                </c:pt>
                <c:pt idx="84">
                  <c:v>1.0129999999999999</c:v>
                </c:pt>
                <c:pt idx="85">
                  <c:v>1.0129999999999999</c:v>
                </c:pt>
                <c:pt idx="86">
                  <c:v>1.0129999999999999</c:v>
                </c:pt>
                <c:pt idx="87">
                  <c:v>1.0129999999999999</c:v>
                </c:pt>
                <c:pt idx="88">
                  <c:v>1.0129999999999999</c:v>
                </c:pt>
                <c:pt idx="89">
                  <c:v>1.0129999999999999</c:v>
                </c:pt>
                <c:pt idx="90">
                  <c:v>1.0129999999999999</c:v>
                </c:pt>
                <c:pt idx="91">
                  <c:v>1.0129999999999999</c:v>
                </c:pt>
                <c:pt idx="92">
                  <c:v>1.0129999999999999</c:v>
                </c:pt>
                <c:pt idx="93">
                  <c:v>1.0129999999999999</c:v>
                </c:pt>
                <c:pt idx="94">
                  <c:v>1.0129999999999999</c:v>
                </c:pt>
                <c:pt idx="95">
                  <c:v>1.0129999999999999</c:v>
                </c:pt>
                <c:pt idx="96">
                  <c:v>1.0129999999999999</c:v>
                </c:pt>
                <c:pt idx="97">
                  <c:v>1.0129999999999999</c:v>
                </c:pt>
                <c:pt idx="98">
                  <c:v>1.0129999999999999</c:v>
                </c:pt>
                <c:pt idx="99">
                  <c:v>1.0129999999999999</c:v>
                </c:pt>
                <c:pt idx="100">
                  <c:v>1.0129999999999999</c:v>
                </c:pt>
              </c:numCache>
            </c:numRef>
          </c:yVal>
          <c:smooth val="0"/>
          <c:extLst xmlns:c16r2="http://schemas.microsoft.com/office/drawing/2015/06/chart">
            <c:ext xmlns:c16="http://schemas.microsoft.com/office/drawing/2014/chart" uri="{C3380CC4-5D6E-409C-BE32-E72D297353CC}">
              <c16:uniqueId val="{00000000-8F9B-4170-A31E-EECD93DADC78}"/>
            </c:ext>
          </c:extLst>
        </c:ser>
        <c:ser>
          <c:idx val="1"/>
          <c:order val="4"/>
          <c:tx>
            <c:v>1</c:v>
          </c:tx>
          <c:spPr>
            <a:ln w="53975" cap="rnd">
              <a:solidFill>
                <a:srgbClr val="FF0000"/>
              </a:solidFill>
              <a:round/>
            </a:ln>
            <a:effectLst/>
          </c:spPr>
          <c:marker>
            <c:symbol val="diamond"/>
            <c:size val="5"/>
            <c:spPr>
              <a:solidFill>
                <a:srgbClr val="FF0000"/>
              </a:solidFill>
              <a:ln w="44450" cap="sq">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Compressor!$E$3</c:f>
              <c:numCache>
                <c:formatCode>_ * #,##0.000_ ;_ * \-#,##0.000_ ;_ * "-"??_ ;_ @_ </c:formatCode>
                <c:ptCount val="1"/>
                <c:pt idx="0">
                  <c:v>0.82206663376110567</c:v>
                </c:pt>
              </c:numCache>
            </c:numRef>
          </c:xVal>
          <c:yVal>
            <c:numRef>
              <c:f>Compressor!$F$3</c:f>
              <c:numCache>
                <c:formatCode>_(* #,##0.00_);_(* \(#,##0.00\);_(* "-"??_);_(@_)</c:formatCode>
                <c:ptCount val="1"/>
                <c:pt idx="0">
                  <c:v>1.0129999999999999</c:v>
                </c:pt>
              </c:numCache>
            </c:numRef>
          </c:yVal>
          <c:smooth val="0"/>
        </c:ser>
        <c:ser>
          <c:idx val="2"/>
          <c:order val="5"/>
          <c:tx>
            <c:v>2</c:v>
          </c:tx>
          <c:spPr>
            <a:ln w="19050" cap="rnd">
              <a:solidFill>
                <a:schemeClr val="accent3"/>
              </a:solidFill>
              <a:round/>
            </a:ln>
            <a:effectLst/>
          </c:spPr>
          <c:marker>
            <c:symbol val="diamond"/>
            <c:size val="5"/>
            <c:spPr>
              <a:solidFill>
                <a:srgbClr val="FF0000"/>
              </a:solidFill>
              <a:ln w="44450">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Compressor!$E$103</c:f>
              <c:numCache>
                <c:formatCode>_ * #,##0.000_ ;_ * \-#,##0.000_ ;_ * "-"??_ ;_ @_ </c:formatCode>
                <c:ptCount val="1"/>
                <c:pt idx="0">
                  <c:v>0.16086649201451722</c:v>
                </c:pt>
              </c:numCache>
            </c:numRef>
          </c:xVal>
          <c:yVal>
            <c:numRef>
              <c:f>Compressor!$F$103</c:f>
              <c:numCache>
                <c:formatCode>_(* #,##0.00_);_(* \(#,##0.00\);_(* "-"??_);_(@_)</c:formatCode>
                <c:ptCount val="1"/>
                <c:pt idx="0">
                  <c:v>10.000000000000004</c:v>
                </c:pt>
              </c:numCache>
            </c:numRef>
          </c:yVal>
          <c:smooth val="0"/>
        </c:ser>
        <c:ser>
          <c:idx val="4"/>
          <c:order val="6"/>
          <c:tx>
            <c:v>3</c:v>
          </c:tx>
          <c:spPr>
            <a:ln w="19050" cap="rnd">
              <a:solidFill>
                <a:schemeClr val="accent5"/>
              </a:solidFill>
              <a:round/>
            </a:ln>
            <a:effectLst/>
          </c:spPr>
          <c:marker>
            <c:symbol val="diamond"/>
            <c:size val="5"/>
            <c:spPr>
              <a:solidFill>
                <a:srgbClr val="FF0000"/>
              </a:solidFill>
              <a:ln w="44450">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Turbine!$E$3</c:f>
              <c:numCache>
                <c:formatCode>_ * #,##0.000_ ;_ * \-#,##0.000_ ;_ * "-"??_ ;_ @_ </c:formatCode>
                <c:ptCount val="1"/>
                <c:pt idx="0">
                  <c:v>0.44454082891834962</c:v>
                </c:pt>
              </c:numCache>
            </c:numRef>
          </c:xVal>
          <c:yVal>
            <c:numRef>
              <c:f>Turbine!$F$3</c:f>
              <c:numCache>
                <c:formatCode>_(* #,##0.00_);_(* \(#,##0.00\);_(* "-"??_);_(@_)</c:formatCode>
                <c:ptCount val="1"/>
                <c:pt idx="0">
                  <c:v>10</c:v>
                </c:pt>
              </c:numCache>
            </c:numRef>
          </c:yVal>
          <c:smooth val="0"/>
        </c:ser>
        <c:ser>
          <c:idx val="6"/>
          <c:order val="7"/>
          <c:tx>
            <c:v>4</c:v>
          </c:tx>
          <c:spPr>
            <a:ln w="19050" cap="rnd">
              <a:solidFill>
                <a:schemeClr val="accent1">
                  <a:lumMod val="60000"/>
                </a:schemeClr>
              </a:solidFill>
              <a:round/>
            </a:ln>
            <a:effectLst/>
          </c:spPr>
          <c:marker>
            <c:symbol val="diamond"/>
            <c:size val="5"/>
            <c:spPr>
              <a:solidFill>
                <a:srgbClr val="FF0000"/>
              </a:solidFill>
              <a:ln w="44450">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Turbine!$E$103</c:f>
              <c:numCache>
                <c:formatCode>_ * #,##0.000_ ;_ * \-#,##0.000_ ;_ * "-"??_ ;_ @_ </c:formatCode>
                <c:ptCount val="1"/>
                <c:pt idx="0">
                  <c:v>2.2717110208712703</c:v>
                </c:pt>
              </c:numCache>
            </c:numRef>
          </c:xVal>
          <c:yVal>
            <c:numRef>
              <c:f>Turbine!$F$103</c:f>
              <c:numCache>
                <c:formatCode>_(* #,##0.00_);_(* \(#,##0.00\);_(* "-"??_);_(@_)</c:formatCode>
                <c:ptCount val="1"/>
                <c:pt idx="0">
                  <c:v>1.0130000000000003</c:v>
                </c:pt>
              </c:numCache>
            </c:numRef>
          </c:yVal>
          <c:smooth val="0"/>
        </c:ser>
        <c:dLbls>
          <c:showLegendKey val="0"/>
          <c:showVal val="0"/>
          <c:showCatName val="0"/>
          <c:showSerName val="0"/>
          <c:showPercent val="0"/>
          <c:showBubbleSize val="0"/>
        </c:dLbls>
        <c:axId val="315812152"/>
        <c:axId val="315812544"/>
      </c:scatterChart>
      <c:valAx>
        <c:axId val="315812152"/>
        <c:scaling>
          <c:orientation val="minMax"/>
          <c:max val="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v (m³/kg)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812544"/>
        <c:crosses val="autoZero"/>
        <c:crossBetween val="midCat"/>
        <c:majorUnit val="0.2"/>
        <c:minorUnit val="5.000000000000001E-2"/>
      </c:valAx>
      <c:valAx>
        <c:axId val="315812544"/>
        <c:scaling>
          <c:orientation val="minMax"/>
          <c:max val="1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p (bar)</a:t>
                </a:r>
              </a:p>
            </c:rich>
          </c:tx>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81215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22" fmlaLink="$B$13" inc="100" max="12000" min="5000" page="10" val="6000"/>
</file>

<file path=xl/ctrlProps/ctrlProp2.xml><?xml version="1.0" encoding="utf-8"?>
<formControlPr xmlns="http://schemas.microsoft.com/office/spreadsheetml/2009/9/main" objectType="Spin" dx="22" fmlaLink="$B$16" max="12" page="10" val="10"/>
</file>

<file path=xl/ctrlProps/ctrlProp3.xml><?xml version="1.0" encoding="utf-8"?>
<formControlPr xmlns="http://schemas.microsoft.com/office/spreadsheetml/2009/9/main" objectType="Spin" dx="22" fmlaLink="$B$19" inc="100" max="3000" page="10" val="200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3867150</xdr:colOff>
      <xdr:row>11</xdr:row>
      <xdr:rowOff>0</xdr:rowOff>
    </xdr:from>
    <xdr:to>
      <xdr:col>0</xdr:col>
      <xdr:colOff>4329456</xdr:colOff>
      <xdr:row>11</xdr:row>
      <xdr:rowOff>172227</xdr:rowOff>
    </xdr:to>
    <mc:AlternateContent xmlns:mc="http://schemas.openxmlformats.org/markup-compatibility/2006" xmlns:a14="http://schemas.microsoft.com/office/drawing/2010/main">
      <mc:Choice Requires="a14">
        <xdr:sp macro="" textlink="">
          <xdr:nvSpPr>
            <xdr:cNvPr id="2" name="Tekstvak 1">
              <a:extLst>
                <a:ext uri="{FF2B5EF4-FFF2-40B4-BE49-F238E27FC236}">
                  <a16:creationId xmlns="" xmlns:a16="http://schemas.microsoft.com/office/drawing/2014/main" id="{00000000-0008-0000-0000-000002000000}"/>
                </a:ext>
              </a:extLst>
            </xdr:cNvPr>
            <xdr:cNvSpPr txBox="1"/>
          </xdr:nvSpPr>
          <xdr:spPr>
            <a:xfrm>
              <a:off x="3867150" y="4000500"/>
              <a:ext cx="46230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𝑝</m:t>
                        </m:r>
                      </m:e>
                      <m:sub>
                        <m:r>
                          <a:rPr lang="nl-NL" sz="1100" b="0" i="1">
                            <a:latin typeface="Cambria Math" panose="02040503050406030204" pitchFamily="18" charset="0"/>
                          </a:rPr>
                          <m:t>𝑎𝑡𝑚</m:t>
                        </m:r>
                      </m:sub>
                    </m:sSub>
                    <m:r>
                      <a:rPr lang="nl-NL" sz="1100" b="0" i="1">
                        <a:latin typeface="Cambria Math" panose="02040503050406030204" pitchFamily="18" charset="0"/>
                      </a:rPr>
                      <m:t>=</m:t>
                    </m:r>
                  </m:oMath>
                </m:oMathPara>
              </a14:m>
              <a:endParaRPr lang="nl-NL" sz="1100"/>
            </a:p>
          </xdr:txBody>
        </xdr:sp>
      </mc:Choice>
      <mc:Fallback xmlns="">
        <xdr:sp macro="" textlink="">
          <xdr:nvSpPr>
            <xdr:cNvPr id="2" name="Tekstvak 1">
              <a:extLst>
                <a:ext uri="{FF2B5EF4-FFF2-40B4-BE49-F238E27FC236}">
                  <a16:creationId xmlns:a16="http://schemas.microsoft.com/office/drawing/2014/main" id="{00000000-0008-0000-0000-000002000000}"/>
                </a:ext>
              </a:extLst>
            </xdr:cNvPr>
            <xdr:cNvSpPr txBox="1"/>
          </xdr:nvSpPr>
          <xdr:spPr>
            <a:xfrm>
              <a:off x="3867150" y="4000500"/>
              <a:ext cx="46230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𝑝_𝑎𝑡𝑚=</a:t>
              </a:r>
              <a:endParaRPr lang="nl-NL" sz="1100"/>
            </a:p>
          </xdr:txBody>
        </xdr:sp>
      </mc:Fallback>
    </mc:AlternateContent>
    <xdr:clientData/>
  </xdr:twoCellAnchor>
  <xdr:twoCellAnchor>
    <xdr:from>
      <xdr:col>0</xdr:col>
      <xdr:colOff>4010025</xdr:colOff>
      <xdr:row>11</xdr:row>
      <xdr:rowOff>180975</xdr:rowOff>
    </xdr:from>
    <xdr:to>
      <xdr:col>0</xdr:col>
      <xdr:colOff>4318123</xdr:colOff>
      <xdr:row>12</xdr:row>
      <xdr:rowOff>171615</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4010025" y="4181475"/>
              <a:ext cx="3080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acc>
                          <m:accPr>
                            <m:chr m:val="̇"/>
                            <m:ctrlPr>
                              <a:rPr lang="nl-NL" sz="1100" i="1">
                                <a:latin typeface="Cambria Math" panose="02040503050406030204" pitchFamily="18" charset="0"/>
                              </a:rPr>
                            </m:ctrlPr>
                          </m:accPr>
                          <m:e>
                            <m:r>
                              <a:rPr lang="nl-NL" sz="1100" b="0" i="1">
                                <a:latin typeface="Cambria Math" panose="02040503050406030204" pitchFamily="18" charset="0"/>
                              </a:rPr>
                              <m:t>𝑉</m:t>
                            </m:r>
                          </m:e>
                        </m:acc>
                      </m:e>
                      <m:sub>
                        <m:r>
                          <a:rPr lang="nl-NL" sz="1100" b="0" i="1">
                            <a:latin typeface="Cambria Math" panose="02040503050406030204" pitchFamily="18" charset="0"/>
                          </a:rPr>
                          <m:t>1</m:t>
                        </m:r>
                      </m:sub>
                    </m:sSub>
                    <m:r>
                      <a:rPr lang="nl-NL" sz="1100" b="0" i="1">
                        <a:latin typeface="Cambria Math" panose="02040503050406030204" pitchFamily="18" charset="0"/>
                      </a:rPr>
                      <m:t>=</m:t>
                    </m:r>
                  </m:oMath>
                </m:oMathPara>
              </a14:m>
              <a:endParaRPr lang="nl-NL" sz="1100"/>
            </a:p>
          </xdr:txBody>
        </xdr:sp>
      </mc:Choice>
      <mc:Fallback xmlns="">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010025" y="4181475"/>
              <a:ext cx="3080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𝑉 ̇_1=</a:t>
              </a:r>
              <a:endParaRPr lang="nl-NL" sz="1100"/>
            </a:p>
          </xdr:txBody>
        </xdr:sp>
      </mc:Fallback>
    </mc:AlternateContent>
    <xdr:clientData/>
  </xdr:twoCellAnchor>
  <xdr:twoCellAnchor>
    <xdr:from>
      <xdr:col>0</xdr:col>
      <xdr:colOff>4010025</xdr:colOff>
      <xdr:row>15</xdr:row>
      <xdr:rowOff>0</xdr:rowOff>
    </xdr:from>
    <xdr:to>
      <xdr:col>0</xdr:col>
      <xdr:colOff>4326074</xdr:colOff>
      <xdr:row>15</xdr:row>
      <xdr:rowOff>172227</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 xmlns:a16="http://schemas.microsoft.com/office/drawing/2014/main" id="{00000000-0008-0000-0000-000005000000}"/>
                </a:ext>
              </a:extLst>
            </xdr:cNvPr>
            <xdr:cNvSpPr txBox="1"/>
          </xdr:nvSpPr>
          <xdr:spPr>
            <a:xfrm>
              <a:off x="4010025" y="4572000"/>
              <a:ext cx="3160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𝑝</m:t>
                        </m:r>
                      </m:e>
                      <m:sub>
                        <m:r>
                          <a:rPr lang="nl-NL" sz="1100" b="0" i="1">
                            <a:latin typeface="Cambria Math" panose="02040503050406030204" pitchFamily="18" charset="0"/>
                          </a:rPr>
                          <m:t>2</m:t>
                        </m:r>
                      </m:sub>
                    </m:sSub>
                    <m:r>
                      <a:rPr lang="nl-NL" sz="1100" b="0" i="1">
                        <a:latin typeface="Cambria Math" panose="02040503050406030204" pitchFamily="18" charset="0"/>
                      </a:rPr>
                      <m:t>=</m:t>
                    </m:r>
                  </m:oMath>
                </m:oMathPara>
              </a14:m>
              <a:endParaRPr lang="nl-NL" sz="1100"/>
            </a:p>
          </xdr:txBody>
        </xdr:sp>
      </mc:Choice>
      <mc:Fallback xmlns="">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4010025" y="4572000"/>
              <a:ext cx="3160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𝑝_2=</a:t>
              </a:r>
              <a:endParaRPr lang="nl-NL" sz="1100"/>
            </a:p>
          </xdr:txBody>
        </xdr:sp>
      </mc:Fallback>
    </mc:AlternateContent>
    <xdr:clientData/>
  </xdr:twoCellAnchor>
  <xdr:twoCellAnchor>
    <xdr:from>
      <xdr:col>0</xdr:col>
      <xdr:colOff>4010025</xdr:colOff>
      <xdr:row>7</xdr:row>
      <xdr:rowOff>171450</xdr:rowOff>
    </xdr:from>
    <xdr:to>
      <xdr:col>0</xdr:col>
      <xdr:colOff>4319853</xdr:colOff>
      <xdr:row>8</xdr:row>
      <xdr:rowOff>163564</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 xmlns:a16="http://schemas.microsoft.com/office/drawing/2014/main" id="{00000000-0008-0000-0000-000007000000}"/>
                </a:ext>
              </a:extLst>
            </xdr:cNvPr>
            <xdr:cNvSpPr txBox="1"/>
          </xdr:nvSpPr>
          <xdr:spPr>
            <a:xfrm>
              <a:off x="4010025" y="3409950"/>
              <a:ext cx="309828"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𝑐</m:t>
                        </m:r>
                      </m:e>
                      <m:sub>
                        <m:r>
                          <a:rPr lang="nl-NL" sz="1100" b="0" i="1">
                            <a:latin typeface="Cambria Math" panose="02040503050406030204" pitchFamily="18" charset="0"/>
                          </a:rPr>
                          <m:t>𝑝</m:t>
                        </m:r>
                      </m:sub>
                    </m:sSub>
                    <m:r>
                      <a:rPr lang="nl-NL" sz="1100" b="0" i="1">
                        <a:latin typeface="Cambria Math" panose="02040503050406030204" pitchFamily="18" charset="0"/>
                      </a:rPr>
                      <m:t>=</m:t>
                    </m:r>
                  </m:oMath>
                </m:oMathPara>
              </a14:m>
              <a:endParaRPr lang="nl-NL" sz="1100"/>
            </a:p>
          </xdr:txBody>
        </xdr:sp>
      </mc:Choice>
      <mc:Fallback xmlns="">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4010025" y="3409950"/>
              <a:ext cx="309828"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𝑐_𝑝=</a:t>
              </a:r>
              <a:endParaRPr lang="nl-NL" sz="1100"/>
            </a:p>
          </xdr:txBody>
        </xdr:sp>
      </mc:Fallback>
    </mc:AlternateContent>
    <xdr:clientData/>
  </xdr:twoCellAnchor>
  <xdr:twoCellAnchor>
    <xdr:from>
      <xdr:col>0</xdr:col>
      <xdr:colOff>4010025</xdr:colOff>
      <xdr:row>8</xdr:row>
      <xdr:rowOff>180975</xdr:rowOff>
    </xdr:from>
    <xdr:to>
      <xdr:col>0</xdr:col>
      <xdr:colOff>4323957</xdr:colOff>
      <xdr:row>9</xdr:row>
      <xdr:rowOff>162702</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 xmlns:a16="http://schemas.microsoft.com/office/drawing/2014/main" id="{00000000-0008-0000-0000-000008000000}"/>
                </a:ext>
              </a:extLst>
            </xdr:cNvPr>
            <xdr:cNvSpPr txBox="1"/>
          </xdr:nvSpPr>
          <xdr:spPr>
            <a:xfrm>
              <a:off x="4010025" y="3609975"/>
              <a:ext cx="3139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𝑐</m:t>
                        </m:r>
                      </m:e>
                      <m:sub>
                        <m:r>
                          <a:rPr lang="nl-NL" sz="1100" b="0" i="1">
                            <a:latin typeface="Cambria Math" panose="02040503050406030204" pitchFamily="18" charset="0"/>
                          </a:rPr>
                          <m:t>𝑉</m:t>
                        </m:r>
                      </m:sub>
                    </m:sSub>
                    <m:r>
                      <a:rPr lang="nl-NL" sz="1100" b="0" i="1">
                        <a:latin typeface="Cambria Math" panose="02040503050406030204" pitchFamily="18" charset="0"/>
                      </a:rPr>
                      <m:t>=</m:t>
                    </m:r>
                  </m:oMath>
                </m:oMathPara>
              </a14:m>
              <a:endParaRPr lang="nl-NL" sz="1100"/>
            </a:p>
          </xdr:txBody>
        </xdr:sp>
      </mc:Choice>
      <mc:Fallback xmlns="">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4010025" y="3609975"/>
              <a:ext cx="3139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𝑐_𝑉=</a:t>
              </a:r>
              <a:endParaRPr lang="nl-NL" sz="1100"/>
            </a:p>
          </xdr:txBody>
        </xdr:sp>
      </mc:Fallback>
    </mc:AlternateContent>
    <xdr:clientData/>
  </xdr:twoCellAnchor>
  <xdr:twoCellAnchor>
    <xdr:from>
      <xdr:col>4</xdr:col>
      <xdr:colOff>171450</xdr:colOff>
      <xdr:row>5</xdr:row>
      <xdr:rowOff>28575</xdr:rowOff>
    </xdr:from>
    <xdr:to>
      <xdr:col>14</xdr:col>
      <xdr:colOff>295275</xdr:colOff>
      <xdr:row>28</xdr:row>
      <xdr:rowOff>123825</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3943350</xdr:colOff>
      <xdr:row>17</xdr:row>
      <xdr:rowOff>185738</xdr:rowOff>
    </xdr:from>
    <xdr:to>
      <xdr:col>0</xdr:col>
      <xdr:colOff>4324350</xdr:colOff>
      <xdr:row>19</xdr:row>
      <xdr:rowOff>28576</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 xmlns:a16="http://schemas.microsoft.com/office/drawing/2014/main" id="{00000000-0008-0000-0000-000006000000}"/>
                </a:ext>
              </a:extLst>
            </xdr:cNvPr>
            <xdr:cNvSpPr txBox="1"/>
          </xdr:nvSpPr>
          <xdr:spPr>
            <a:xfrm>
              <a:off x="3943350" y="4757738"/>
              <a:ext cx="381000" cy="223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acc>
                          <m:accPr>
                            <m:chr m:val="̇"/>
                            <m:ctrlPr>
                              <a:rPr lang="nl-NL" sz="1100" i="1">
                                <a:latin typeface="Cambria Math" panose="02040503050406030204" pitchFamily="18" charset="0"/>
                              </a:rPr>
                            </m:ctrlPr>
                          </m:accPr>
                          <m:e>
                            <m:r>
                              <a:rPr lang="nl-NL" sz="1100" b="0" i="1">
                                <a:latin typeface="Cambria Math" panose="02040503050406030204" pitchFamily="18" charset="0"/>
                              </a:rPr>
                              <m:t>𝑄</m:t>
                            </m:r>
                          </m:e>
                        </m:acc>
                      </m:e>
                      <m:sub>
                        <m:r>
                          <a:rPr lang="nl-NL" sz="1100" b="0" i="1">
                            <a:latin typeface="Cambria Math" panose="02040503050406030204" pitchFamily="18" charset="0"/>
                          </a:rPr>
                          <m:t>𝑖𝑛</m:t>
                        </m:r>
                      </m:sub>
                    </m:sSub>
                    <m:r>
                      <a:rPr lang="nl-NL" sz="1100" b="0" i="1">
                        <a:latin typeface="Cambria Math" panose="02040503050406030204" pitchFamily="18" charset="0"/>
                      </a:rPr>
                      <m:t>=</m:t>
                    </m:r>
                  </m:oMath>
                </m:oMathPara>
              </a14:m>
              <a:endParaRPr lang="nl-NL" sz="1100"/>
            </a:p>
          </xdr:txBody>
        </xdr:sp>
      </mc:Choice>
      <mc:Fallback xmlns="">
        <xdr:sp macro="" textlink="">
          <xdr:nvSpPr>
            <xdr:cNvPr id="6" name="TextBox 5">
              <a:extLst>
                <a:ext uri="{FF2B5EF4-FFF2-40B4-BE49-F238E27FC236}">
                  <a16:creationId xmlns="" xmlns:a16="http://schemas.microsoft.com/office/drawing/2014/main" xmlns:a14="http://schemas.microsoft.com/office/drawing/2010/main" id="{00000000-0008-0000-0000-000006000000}"/>
                </a:ext>
              </a:extLst>
            </xdr:cNvPr>
            <xdr:cNvSpPr txBox="1"/>
          </xdr:nvSpPr>
          <xdr:spPr>
            <a:xfrm>
              <a:off x="3943350" y="4757738"/>
              <a:ext cx="381000" cy="223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𝑄 ̇_𝑖𝑛=</a:t>
              </a:r>
              <a:endParaRPr lang="nl-NL" sz="1100"/>
            </a:p>
          </xdr:txBody>
        </xdr:sp>
      </mc:Fallback>
    </mc:AlternateContent>
    <xdr:clientData/>
  </xdr:twoCellAnchor>
  <xdr:twoCellAnchor>
    <xdr:from>
      <xdr:col>0</xdr:col>
      <xdr:colOff>4010025</xdr:colOff>
      <xdr:row>13</xdr:row>
      <xdr:rowOff>0</xdr:rowOff>
    </xdr:from>
    <xdr:to>
      <xdr:col>0</xdr:col>
      <xdr:colOff>4317417</xdr:colOff>
      <xdr:row>13</xdr:row>
      <xdr:rowOff>172227</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 xmlns:a16="http://schemas.microsoft.com/office/drawing/2014/main" id="{00000000-0008-0000-0000-00000B000000}"/>
                </a:ext>
              </a:extLst>
            </xdr:cNvPr>
            <xdr:cNvSpPr txBox="1"/>
          </xdr:nvSpPr>
          <xdr:spPr>
            <a:xfrm>
              <a:off x="4010025" y="4381500"/>
              <a:ext cx="3073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𝑇</m:t>
                        </m:r>
                      </m:e>
                      <m:sub>
                        <m:r>
                          <a:rPr lang="nl-NL" sz="1100" b="0" i="1">
                            <a:latin typeface="Cambria Math" panose="02040503050406030204" pitchFamily="18" charset="0"/>
                          </a:rPr>
                          <m:t>1</m:t>
                        </m:r>
                      </m:sub>
                    </m:sSub>
                    <m:r>
                      <a:rPr lang="nl-NL" sz="1100" b="0" i="1">
                        <a:latin typeface="Cambria Math" panose="02040503050406030204" pitchFamily="18" charset="0"/>
                      </a:rPr>
                      <m:t>=</m:t>
                    </m:r>
                  </m:oMath>
                </m:oMathPara>
              </a14:m>
              <a:endParaRPr lang="nl-NL" sz="1100"/>
            </a:p>
          </xdr:txBody>
        </xdr:sp>
      </mc:Choice>
      <mc:Fallback xmlns="">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4010025" y="4381500"/>
              <a:ext cx="3073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𝑇_1=</a:t>
              </a:r>
              <a:endParaRPr lang="nl-NL" sz="1100"/>
            </a:p>
          </xdr:txBody>
        </xdr:sp>
      </mc:Fallback>
    </mc:AlternateContent>
    <xdr:clientData/>
  </xdr:twoCellAnchor>
  <xdr:twoCellAnchor>
    <xdr:from>
      <xdr:col>0</xdr:col>
      <xdr:colOff>3952875</xdr:colOff>
      <xdr:row>6</xdr:row>
      <xdr:rowOff>4762</xdr:rowOff>
    </xdr:from>
    <xdr:to>
      <xdr:col>0</xdr:col>
      <xdr:colOff>4334967</xdr:colOff>
      <xdr:row>6</xdr:row>
      <xdr:rowOff>176989</xdr:rowOff>
    </xdr:to>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 xmlns:a16="http://schemas.microsoft.com/office/drawing/2014/main" id="{00000000-0008-0000-0000-00000C000000}"/>
                </a:ext>
              </a:extLst>
            </xdr:cNvPr>
            <xdr:cNvSpPr txBox="1"/>
          </xdr:nvSpPr>
          <xdr:spPr>
            <a:xfrm>
              <a:off x="3952875" y="3052762"/>
              <a:ext cx="3820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nl-NL" sz="1100" b="0" i="1">
                        <a:latin typeface="Cambria Math" panose="02040503050406030204" pitchFamily="18" charset="0"/>
                      </a:rPr>
                      <m:t>0</m:t>
                    </m:r>
                    <m:r>
                      <a:rPr lang="nl-NL" sz="1100" b="0" i="1">
                        <a:latin typeface="Cambria Math" panose="02040503050406030204" pitchFamily="18" charset="0"/>
                        <a:ea typeface="Cambria Math" panose="02040503050406030204" pitchFamily="18" charset="0"/>
                      </a:rPr>
                      <m:t>℃=</m:t>
                    </m:r>
                  </m:oMath>
                </m:oMathPara>
              </a14:m>
              <a:endParaRPr lang="nl-NL" sz="1100"/>
            </a:p>
          </xdr:txBody>
        </xdr:sp>
      </mc:Choice>
      <mc:Fallback xmlns="">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3952875" y="3052762"/>
              <a:ext cx="3820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0</a:t>
              </a:r>
              <a:r>
                <a:rPr lang="nl-NL" sz="1100" b="0" i="0">
                  <a:latin typeface="Cambria Math" panose="02040503050406030204" pitchFamily="18" charset="0"/>
                  <a:ea typeface="Cambria Math" panose="02040503050406030204" pitchFamily="18" charset="0"/>
                </a:rPr>
                <a:t>℃=</a:t>
              </a:r>
              <a:endParaRPr lang="nl-NL" sz="1100"/>
            </a:p>
          </xdr:txBody>
        </xdr:sp>
      </mc:Fallback>
    </mc:AlternateContent>
    <xdr:clientData/>
  </xdr:twoCellAnchor>
  <mc:AlternateContent xmlns:mc="http://schemas.openxmlformats.org/markup-compatibility/2006">
    <mc:Choice xmlns:a14="http://schemas.microsoft.com/office/drawing/2010/main" Requires="a14">
      <xdr:twoCellAnchor>
        <xdr:from>
          <xdr:col>3</xdr:col>
          <xdr:colOff>7620</xdr:colOff>
          <xdr:row>12</xdr:row>
          <xdr:rowOff>7620</xdr:rowOff>
        </xdr:from>
        <xdr:to>
          <xdr:col>3</xdr:col>
          <xdr:colOff>594360</xdr:colOff>
          <xdr:row>12</xdr:row>
          <xdr:rowOff>182880</xdr:rowOff>
        </xdr:to>
        <xdr:sp macro="" textlink="">
          <xdr:nvSpPr>
            <xdr:cNvPr id="1025" name="Kringveld 1" hidden="1">
              <a:extLst>
                <a:ext uri="{63B3BB69-23CF-44E3-9099-C40C66FF867C}">
                  <a14:compatExt spid="_x0000_s1025"/>
                </a:ext>
                <a:ext uri="{FF2B5EF4-FFF2-40B4-BE49-F238E27FC236}">
                  <a16:creationId xmlns="" xmlns:a16="http://schemas.microsoft.com/office/drawing/2014/main" id="{D87099FA-92FC-4A1C-9D7D-41F319AC499F}"/>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15</xdr:row>
          <xdr:rowOff>7620</xdr:rowOff>
        </xdr:from>
        <xdr:to>
          <xdr:col>3</xdr:col>
          <xdr:colOff>594360</xdr:colOff>
          <xdr:row>16</xdr:row>
          <xdr:rowOff>7620</xdr:rowOff>
        </xdr:to>
        <xdr:sp macro="" textlink="">
          <xdr:nvSpPr>
            <xdr:cNvPr id="1026" name="Kringveld 2" hidden="1">
              <a:extLst>
                <a:ext uri="{63B3BB69-23CF-44E3-9099-C40C66FF867C}">
                  <a14:compatExt spid="_x0000_s1026"/>
                </a:ext>
                <a:ext uri="{FF2B5EF4-FFF2-40B4-BE49-F238E27FC236}">
                  <a16:creationId xmlns="" xmlns:a16="http://schemas.microsoft.com/office/drawing/2014/main" id="{7E028972-4C8A-4579-81E6-A8EE1166FA64}"/>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7620</xdr:colOff>
          <xdr:row>18</xdr:row>
          <xdr:rowOff>7620</xdr:rowOff>
        </xdr:from>
        <xdr:to>
          <xdr:col>3</xdr:col>
          <xdr:colOff>601980</xdr:colOff>
          <xdr:row>19</xdr:row>
          <xdr:rowOff>0</xdr:rowOff>
        </xdr:to>
        <xdr:sp macro="" textlink="">
          <xdr:nvSpPr>
            <xdr:cNvPr id="1027" name="Kringveld 3" hidden="1">
              <a:extLst>
                <a:ext uri="{63B3BB69-23CF-44E3-9099-C40C66FF867C}">
                  <a14:compatExt spid="_x0000_s1027"/>
                </a:ext>
                <a:ext uri="{FF2B5EF4-FFF2-40B4-BE49-F238E27FC236}">
                  <a16:creationId xmlns="" xmlns:a16="http://schemas.microsoft.com/office/drawing/2014/main" id="{B8C54623-48EB-49ED-A970-929FABC48F7D}"/>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oneCellAnchor>
    <xdr:from>
      <xdr:col>0</xdr:col>
      <xdr:colOff>3957637</xdr:colOff>
      <xdr:row>23</xdr:row>
      <xdr:rowOff>19050</xdr:rowOff>
    </xdr:from>
    <xdr:ext cx="367345" cy="172227"/>
    <mc:AlternateContent xmlns:mc="http://schemas.openxmlformats.org/markup-compatibility/2006" xmlns:a14="http://schemas.microsoft.com/office/drawing/2010/main">
      <mc:Choice Requires="a14">
        <xdr:sp macro="" textlink="">
          <xdr:nvSpPr>
            <xdr:cNvPr id="9" name="Tekstvak 8">
              <a:extLst>
                <a:ext uri="{FF2B5EF4-FFF2-40B4-BE49-F238E27FC236}">
                  <a16:creationId xmlns="" xmlns:a16="http://schemas.microsoft.com/office/drawing/2014/main" id="{144B5A95-E4F9-4DC9-A3E8-0DA8AEAF1899}"/>
                </a:ext>
              </a:extLst>
            </xdr:cNvPr>
            <xdr:cNvSpPr txBox="1"/>
          </xdr:nvSpPr>
          <xdr:spPr>
            <a:xfrm>
              <a:off x="3957637" y="4972050"/>
              <a:ext cx="3673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nl-NL" sz="1100" b="0" i="1">
                        <a:latin typeface="Cambria Math" panose="02040503050406030204" pitchFamily="18" charset="0"/>
                      </a:rPr>
                      <m:t>∑</m:t>
                    </m:r>
                    <m:r>
                      <a:rPr lang="nl-NL" sz="1100" b="0" i="1">
                        <a:latin typeface="Cambria Math" panose="02040503050406030204" pitchFamily="18" charset="0"/>
                      </a:rPr>
                      <m:t>𝑃</m:t>
                    </m:r>
                    <m:r>
                      <a:rPr lang="nl-NL" sz="1100" b="0" i="1">
                        <a:latin typeface="Cambria Math" panose="02040503050406030204" pitchFamily="18" charset="0"/>
                      </a:rPr>
                      <m:t>=</m:t>
                    </m:r>
                  </m:oMath>
                </m:oMathPara>
              </a14:m>
              <a:endParaRPr lang="nl-NL" sz="1100"/>
            </a:p>
          </xdr:txBody>
        </xdr:sp>
      </mc:Choice>
      <mc:Fallback xmlns="">
        <xdr:sp macro="" textlink="">
          <xdr:nvSpPr>
            <xdr:cNvPr id="9" name="Tekstvak 8">
              <a:extLst>
                <a:ext uri="{FF2B5EF4-FFF2-40B4-BE49-F238E27FC236}">
                  <a16:creationId xmlns="" xmlns:a16="http://schemas.microsoft.com/office/drawing/2014/main" xmlns:a14="http://schemas.microsoft.com/office/drawing/2010/main" id="{144B5A95-E4F9-4DC9-A3E8-0DA8AEAF1899}"/>
                </a:ext>
              </a:extLst>
            </xdr:cNvPr>
            <xdr:cNvSpPr txBox="1"/>
          </xdr:nvSpPr>
          <xdr:spPr>
            <a:xfrm>
              <a:off x="3957637" y="4972050"/>
              <a:ext cx="3673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nl-NL" sz="1100" b="0" i="0">
                  <a:latin typeface="Cambria Math" panose="02040503050406030204" pitchFamily="18" charset="0"/>
                </a:rPr>
                <a:t>∑𝑃=</a:t>
              </a:r>
              <a:endParaRPr lang="nl-NL" sz="1100"/>
            </a:p>
          </xdr:txBody>
        </xdr:sp>
      </mc:Fallback>
    </mc:AlternateContent>
    <xdr:clientData/>
  </xdr:oneCellAnchor>
  <xdr:oneCellAnchor>
    <xdr:from>
      <xdr:col>0</xdr:col>
      <xdr:colOff>3948112</xdr:colOff>
      <xdr:row>24</xdr:row>
      <xdr:rowOff>19050</xdr:rowOff>
    </xdr:from>
    <xdr:ext cx="368242" cy="172227"/>
    <mc:AlternateContent xmlns:mc="http://schemas.openxmlformats.org/markup-compatibility/2006" xmlns:a14="http://schemas.microsoft.com/office/drawing/2010/main">
      <mc:Choice Requires="a14">
        <xdr:sp macro="" textlink="">
          <xdr:nvSpPr>
            <xdr:cNvPr id="10" name="Tekstvak 9">
              <a:extLst>
                <a:ext uri="{FF2B5EF4-FFF2-40B4-BE49-F238E27FC236}">
                  <a16:creationId xmlns="" xmlns:a16="http://schemas.microsoft.com/office/drawing/2014/main" id="{E11443D5-FC76-442F-8B99-17210B44ABAA}"/>
                </a:ext>
              </a:extLst>
            </xdr:cNvPr>
            <xdr:cNvSpPr txBox="1"/>
          </xdr:nvSpPr>
          <xdr:spPr>
            <a:xfrm>
              <a:off x="3948112" y="5162550"/>
              <a:ext cx="3682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ea typeface="Cambria Math" panose="02040503050406030204" pitchFamily="18" charset="0"/>
                          </a:rPr>
                        </m:ctrlPr>
                      </m:sSubPr>
                      <m:e>
                        <m:r>
                          <a:rPr lang="nl-NL" sz="1100" i="1">
                            <a:latin typeface="Cambria Math" panose="02040503050406030204" pitchFamily="18" charset="0"/>
                            <a:ea typeface="Cambria Math" panose="02040503050406030204" pitchFamily="18" charset="0"/>
                          </a:rPr>
                          <m:t>𝜂</m:t>
                        </m:r>
                      </m:e>
                      <m:sub>
                        <m:r>
                          <a:rPr lang="nl-NL" sz="1100" b="0" i="1">
                            <a:latin typeface="Cambria Math" panose="02040503050406030204" pitchFamily="18" charset="0"/>
                            <a:ea typeface="Cambria Math" panose="02040503050406030204" pitchFamily="18" charset="0"/>
                          </a:rPr>
                          <m:t>𝑡h</m:t>
                        </m:r>
                      </m:sub>
                    </m:sSub>
                    <m:r>
                      <a:rPr lang="nl-NL" sz="1100" b="0" i="1">
                        <a:latin typeface="Cambria Math" panose="02040503050406030204" pitchFamily="18" charset="0"/>
                        <a:ea typeface="Cambria Math" panose="02040503050406030204" pitchFamily="18" charset="0"/>
                      </a:rPr>
                      <m:t>=</m:t>
                    </m:r>
                  </m:oMath>
                </m:oMathPara>
              </a14:m>
              <a:endParaRPr lang="nl-NL" sz="1100"/>
            </a:p>
          </xdr:txBody>
        </xdr:sp>
      </mc:Choice>
      <mc:Fallback xmlns="">
        <xdr:sp macro="" textlink="">
          <xdr:nvSpPr>
            <xdr:cNvPr id="10" name="Tekstvak 9">
              <a:extLst>
                <a:ext uri="{FF2B5EF4-FFF2-40B4-BE49-F238E27FC236}">
                  <a16:creationId xmlns="" xmlns:a16="http://schemas.microsoft.com/office/drawing/2014/main" xmlns:a14="http://schemas.microsoft.com/office/drawing/2010/main" id="{E11443D5-FC76-442F-8B99-17210B44ABAA}"/>
                </a:ext>
              </a:extLst>
            </xdr:cNvPr>
            <xdr:cNvSpPr txBox="1"/>
          </xdr:nvSpPr>
          <xdr:spPr>
            <a:xfrm>
              <a:off x="3948112" y="5162550"/>
              <a:ext cx="3682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nl-NL" sz="1100" i="0">
                  <a:latin typeface="Cambria Math" panose="02040503050406030204" pitchFamily="18" charset="0"/>
                  <a:ea typeface="Cambria Math" panose="02040503050406030204" pitchFamily="18" charset="0"/>
                </a:rPr>
                <a:t>𝜂</a:t>
              </a:r>
              <a:r>
                <a:rPr lang="nl-NL" sz="1100" b="0" i="0">
                  <a:latin typeface="Cambria Math" panose="02040503050406030204" pitchFamily="18" charset="0"/>
                  <a:ea typeface="Cambria Math" panose="02040503050406030204" pitchFamily="18" charset="0"/>
                </a:rPr>
                <a:t>_𝑡ℎ=</a:t>
              </a:r>
              <a:endParaRPr lang="nl-NL" sz="1100"/>
            </a:p>
          </xdr:txBody>
        </xdr:sp>
      </mc:Fallback>
    </mc:AlternateContent>
    <xdr:clientData/>
  </xdr:oneCellAnchor>
  <xdr:twoCellAnchor>
    <xdr:from>
      <xdr:col>0</xdr:col>
      <xdr:colOff>3990975</xdr:colOff>
      <xdr:row>14</xdr:row>
      <xdr:rowOff>19050</xdr:rowOff>
    </xdr:from>
    <xdr:to>
      <xdr:col>0</xdr:col>
      <xdr:colOff>4269792</xdr:colOff>
      <xdr:row>15</xdr:row>
      <xdr:rowOff>777</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xmlns="" id="{00000000-0008-0000-0000-00000B000000}"/>
                </a:ext>
              </a:extLst>
            </xdr:cNvPr>
            <xdr:cNvSpPr txBox="1"/>
          </xdr:nvSpPr>
          <xdr:spPr>
            <a:xfrm>
              <a:off x="3990975" y="4019550"/>
              <a:ext cx="2788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𝐴</m:t>
                        </m:r>
                      </m:e>
                      <m:sub>
                        <m:r>
                          <a:rPr lang="nl-NL" sz="1100" b="0" i="1">
                            <a:latin typeface="Cambria Math" panose="02040503050406030204" pitchFamily="18" charset="0"/>
                          </a:rPr>
                          <m:t>1</m:t>
                        </m:r>
                      </m:sub>
                    </m:sSub>
                    <m:r>
                      <a:rPr lang="nl-NL" sz="1100" b="0" i="1">
                        <a:latin typeface="Cambria Math" panose="02040503050406030204" pitchFamily="18" charset="0"/>
                      </a:rPr>
                      <m:t>=</m:t>
                    </m:r>
                  </m:oMath>
                </m:oMathPara>
              </a14:m>
              <a:endParaRPr lang="nl-NL" sz="1100"/>
            </a:p>
          </xdr:txBody>
        </xdr:sp>
      </mc:Choice>
      <mc:Fallback xmlns="">
        <xdr:sp macro="" textlink="">
          <xdr:nvSpPr>
            <xdr:cNvPr id="16" name="TextBox 15">
              <a:extLst>
                <a:ext uri="{FF2B5EF4-FFF2-40B4-BE49-F238E27FC236}">
                  <a16:creationId xmlns:a16="http://schemas.microsoft.com/office/drawing/2014/main" xmlns:a14="http://schemas.microsoft.com/office/drawing/2010/main" xmlns="" id="{00000000-0008-0000-0000-00000B000000}"/>
                </a:ext>
              </a:extLst>
            </xdr:cNvPr>
            <xdr:cNvSpPr txBox="1"/>
          </xdr:nvSpPr>
          <xdr:spPr>
            <a:xfrm>
              <a:off x="3990975" y="4019550"/>
              <a:ext cx="2788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𝐴_1=</a:t>
              </a:r>
              <a:endParaRPr lang="nl-NL" sz="1100"/>
            </a:p>
          </xdr:txBody>
        </xdr:sp>
      </mc:Fallback>
    </mc:AlternateContent>
    <xdr:clientData/>
  </xdr:twoCellAnchor>
  <xdr:twoCellAnchor>
    <xdr:from>
      <xdr:col>0</xdr:col>
      <xdr:colOff>3990975</xdr:colOff>
      <xdr:row>16</xdr:row>
      <xdr:rowOff>19050</xdr:rowOff>
    </xdr:from>
    <xdr:to>
      <xdr:col>0</xdr:col>
      <xdr:colOff>4288842</xdr:colOff>
      <xdr:row>17</xdr:row>
      <xdr:rowOff>777</xdr:rowOff>
    </xdr:to>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xmlns="" id="{00000000-0008-0000-0000-00000B000000}"/>
                </a:ext>
              </a:extLst>
            </xdr:cNvPr>
            <xdr:cNvSpPr txBox="1"/>
          </xdr:nvSpPr>
          <xdr:spPr>
            <a:xfrm>
              <a:off x="3990975" y="4400550"/>
              <a:ext cx="297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𝐴</m:t>
                        </m:r>
                      </m:e>
                      <m:sub>
                        <m:r>
                          <a:rPr lang="nl-NL" sz="1100" b="0" i="1">
                            <a:latin typeface="Cambria Math" panose="02040503050406030204" pitchFamily="18" charset="0"/>
                          </a:rPr>
                          <m:t>2</m:t>
                        </m:r>
                      </m:sub>
                    </m:sSub>
                    <m:r>
                      <a:rPr lang="nl-NL" sz="1100" b="0" i="1">
                        <a:latin typeface="Cambria Math" panose="02040503050406030204" pitchFamily="18" charset="0"/>
                      </a:rPr>
                      <m:t>=</m:t>
                    </m:r>
                  </m:oMath>
                </m:oMathPara>
              </a14:m>
              <a:endParaRPr lang="nl-NL" sz="1100"/>
            </a:p>
          </xdr:txBody>
        </xdr:sp>
      </mc:Choice>
      <mc:Fallback xmlns="">
        <xdr:sp macro="" textlink="">
          <xdr:nvSpPr>
            <xdr:cNvPr id="17" name="TextBox 16">
              <a:extLst>
                <a:ext uri="{FF2B5EF4-FFF2-40B4-BE49-F238E27FC236}">
                  <a16:creationId xmlns:a16="http://schemas.microsoft.com/office/drawing/2014/main" xmlns:a14="http://schemas.microsoft.com/office/drawing/2010/main" xmlns="" id="{00000000-0008-0000-0000-00000B000000}"/>
                </a:ext>
              </a:extLst>
            </xdr:cNvPr>
            <xdr:cNvSpPr txBox="1"/>
          </xdr:nvSpPr>
          <xdr:spPr>
            <a:xfrm>
              <a:off x="3990975" y="4400550"/>
              <a:ext cx="297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𝐴_2=</a:t>
              </a:r>
              <a:endParaRPr lang="nl-NL" sz="1100"/>
            </a:p>
          </xdr:txBody>
        </xdr:sp>
      </mc:Fallback>
    </mc:AlternateContent>
    <xdr:clientData/>
  </xdr:twoCellAnchor>
  <xdr:twoCellAnchor>
    <xdr:from>
      <xdr:col>0</xdr:col>
      <xdr:colOff>4010025</xdr:colOff>
      <xdr:row>19</xdr:row>
      <xdr:rowOff>19050</xdr:rowOff>
    </xdr:from>
    <xdr:to>
      <xdr:col>0</xdr:col>
      <xdr:colOff>4307892</xdr:colOff>
      <xdr:row>20</xdr:row>
      <xdr:rowOff>777</xdr:rowOff>
    </xdr:to>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xmlns="" id="{00000000-0008-0000-0000-00000B000000}"/>
                </a:ext>
              </a:extLst>
            </xdr:cNvPr>
            <xdr:cNvSpPr txBox="1"/>
          </xdr:nvSpPr>
          <xdr:spPr>
            <a:xfrm>
              <a:off x="4010025" y="4972050"/>
              <a:ext cx="297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𝐴</m:t>
                        </m:r>
                      </m:e>
                      <m:sub>
                        <m:r>
                          <a:rPr lang="nl-NL" sz="1100" b="0" i="1">
                            <a:latin typeface="Cambria Math" panose="02040503050406030204" pitchFamily="18" charset="0"/>
                          </a:rPr>
                          <m:t>3</m:t>
                        </m:r>
                      </m:sub>
                    </m:sSub>
                    <m:r>
                      <a:rPr lang="nl-NL" sz="1100" b="0" i="1">
                        <a:latin typeface="Cambria Math" panose="02040503050406030204" pitchFamily="18" charset="0"/>
                      </a:rPr>
                      <m:t>=</m:t>
                    </m:r>
                  </m:oMath>
                </m:oMathPara>
              </a14:m>
              <a:endParaRPr lang="nl-NL" sz="1100"/>
            </a:p>
          </xdr:txBody>
        </xdr:sp>
      </mc:Choice>
      <mc:Fallback xmlns="">
        <xdr:sp macro="" textlink="">
          <xdr:nvSpPr>
            <xdr:cNvPr id="18" name="TextBox 17">
              <a:extLst>
                <a:ext uri="{FF2B5EF4-FFF2-40B4-BE49-F238E27FC236}">
                  <a16:creationId xmlns:a16="http://schemas.microsoft.com/office/drawing/2014/main" xmlns:a14="http://schemas.microsoft.com/office/drawing/2010/main" xmlns="" id="{00000000-0008-0000-0000-00000B000000}"/>
                </a:ext>
              </a:extLst>
            </xdr:cNvPr>
            <xdr:cNvSpPr txBox="1"/>
          </xdr:nvSpPr>
          <xdr:spPr>
            <a:xfrm>
              <a:off x="4010025" y="4972050"/>
              <a:ext cx="297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𝐴_3=</a:t>
              </a:r>
              <a:endParaRPr lang="nl-NL" sz="1100"/>
            </a:p>
          </xdr:txBody>
        </xdr:sp>
      </mc:Fallback>
    </mc:AlternateContent>
    <xdr:clientData/>
  </xdr:twoCellAnchor>
  <xdr:twoCellAnchor>
    <xdr:from>
      <xdr:col>0</xdr:col>
      <xdr:colOff>4010025</xdr:colOff>
      <xdr:row>21</xdr:row>
      <xdr:rowOff>9525</xdr:rowOff>
    </xdr:from>
    <xdr:to>
      <xdr:col>0</xdr:col>
      <xdr:colOff>4307892</xdr:colOff>
      <xdr:row>21</xdr:row>
      <xdr:rowOff>181752</xdr:rowOff>
    </xdr:to>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xmlns="" id="{00000000-0008-0000-0000-00000B000000}"/>
                </a:ext>
              </a:extLst>
            </xdr:cNvPr>
            <xdr:cNvSpPr txBox="1"/>
          </xdr:nvSpPr>
          <xdr:spPr>
            <a:xfrm>
              <a:off x="4010025" y="5343525"/>
              <a:ext cx="297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𝐴</m:t>
                        </m:r>
                      </m:e>
                      <m:sub>
                        <m:r>
                          <a:rPr lang="nl-NL" sz="1100" b="0" i="1">
                            <a:latin typeface="Cambria Math" panose="02040503050406030204" pitchFamily="18" charset="0"/>
                          </a:rPr>
                          <m:t>4</m:t>
                        </m:r>
                      </m:sub>
                    </m:sSub>
                    <m:r>
                      <a:rPr lang="nl-NL" sz="1100" b="0" i="1">
                        <a:latin typeface="Cambria Math" panose="02040503050406030204" pitchFamily="18" charset="0"/>
                      </a:rPr>
                      <m:t>=</m:t>
                    </m:r>
                  </m:oMath>
                </m:oMathPara>
              </a14:m>
              <a:endParaRPr lang="nl-NL" sz="1100"/>
            </a:p>
          </xdr:txBody>
        </xdr:sp>
      </mc:Choice>
      <mc:Fallback xmlns="">
        <xdr:sp macro="" textlink="">
          <xdr:nvSpPr>
            <xdr:cNvPr id="19" name="TextBox 18">
              <a:extLst>
                <a:ext uri="{FF2B5EF4-FFF2-40B4-BE49-F238E27FC236}">
                  <a16:creationId xmlns:a16="http://schemas.microsoft.com/office/drawing/2014/main" xmlns:a14="http://schemas.microsoft.com/office/drawing/2010/main" xmlns="" id="{00000000-0008-0000-0000-00000B000000}"/>
                </a:ext>
              </a:extLst>
            </xdr:cNvPr>
            <xdr:cNvSpPr txBox="1"/>
          </xdr:nvSpPr>
          <xdr:spPr>
            <a:xfrm>
              <a:off x="4010025" y="5343525"/>
              <a:ext cx="2978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𝐴_4=</a:t>
              </a:r>
              <a:endParaRPr lang="nl-NL"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2514600</xdr:colOff>
      <xdr:row>2</xdr:row>
      <xdr:rowOff>14287</xdr:rowOff>
    </xdr:from>
    <xdr:ext cx="294696"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2514600" y="395287"/>
              <a:ext cx="2946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nl-NL" sz="1100" i="1">
                            <a:solidFill>
                              <a:schemeClr val="tx1"/>
                            </a:solidFill>
                            <a:effectLst/>
                            <a:latin typeface="Cambria Math" panose="02040503050406030204" pitchFamily="18" charset="0"/>
                            <a:ea typeface="+mn-ea"/>
                            <a:cs typeface="+mn-cs"/>
                          </a:rPr>
                        </m:ctrlPr>
                      </m:accPr>
                      <m:e>
                        <m:r>
                          <a:rPr lang="nl-NL" sz="1100" b="0" i="1">
                            <a:solidFill>
                              <a:schemeClr val="tx1"/>
                            </a:solidFill>
                            <a:effectLst/>
                            <a:latin typeface="Cambria Math" panose="02040503050406030204" pitchFamily="18" charset="0"/>
                            <a:ea typeface="+mn-ea"/>
                            <a:cs typeface="+mn-cs"/>
                          </a:rPr>
                          <m:t>𝑚</m:t>
                        </m:r>
                      </m:e>
                    </m:acc>
                    <m:r>
                      <a:rPr lang="nl-NL" sz="1100" b="0" i="1">
                        <a:solidFill>
                          <a:schemeClr val="tx1"/>
                        </a:solidFill>
                        <a:effectLst/>
                        <a:latin typeface="Cambria Math" panose="02040503050406030204" pitchFamily="18" charset="0"/>
                        <a:ea typeface="+mn-ea"/>
                        <a:cs typeface="+mn-cs"/>
                      </a:rPr>
                      <m:t>=</m:t>
                    </m:r>
                  </m:oMath>
                </m:oMathPara>
              </a14:m>
              <a:endParaRPr lang="nl-NL" sz="1100"/>
            </a:p>
          </xdr:txBody>
        </xdr:sp>
      </mc:Choice>
      <mc:Fallback xmlns="">
        <xdr:sp macro="" textlink="">
          <xdr:nvSpPr>
            <xdr:cNvPr id="2" name="TextBox 1"/>
            <xdr:cNvSpPr txBox="1"/>
          </xdr:nvSpPr>
          <xdr:spPr>
            <a:xfrm>
              <a:off x="2514600" y="395287"/>
              <a:ext cx="2946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nl-NL" sz="1100" b="0" i="0">
                  <a:solidFill>
                    <a:schemeClr val="tx1"/>
                  </a:solidFill>
                  <a:effectLst/>
                  <a:latin typeface="Cambria Math" panose="02040503050406030204" pitchFamily="18" charset="0"/>
                  <a:ea typeface="+mn-ea"/>
                  <a:cs typeface="+mn-cs"/>
                </a:rPr>
                <a:t>𝑚 ̇=</a:t>
              </a:r>
              <a:endParaRPr lang="nl-NL" sz="1100"/>
            </a:p>
          </xdr:txBody>
        </xdr:sp>
      </mc:Fallback>
    </mc:AlternateContent>
    <xdr:clientData/>
  </xdr:oneCellAnchor>
  <xdr:oneCellAnchor>
    <xdr:from>
      <xdr:col>0</xdr:col>
      <xdr:colOff>2495550</xdr:colOff>
      <xdr:row>3</xdr:row>
      <xdr:rowOff>19050</xdr:rowOff>
    </xdr:from>
    <xdr:ext cx="313997"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 xmlns:a16="http://schemas.microsoft.com/office/drawing/2014/main" id="{00000000-0008-0000-0100-000003000000}"/>
                </a:ext>
              </a:extLst>
            </xdr:cNvPr>
            <xdr:cNvSpPr txBox="1"/>
          </xdr:nvSpPr>
          <xdr:spPr>
            <a:xfrm>
              <a:off x="2495550" y="400050"/>
              <a:ext cx="31399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𝑣</m:t>
                        </m:r>
                      </m:e>
                      <m:sub>
                        <m:r>
                          <a:rPr lang="nl-NL" sz="1100" b="0" i="1">
                            <a:latin typeface="Cambria Math" panose="02040503050406030204" pitchFamily="18" charset="0"/>
                          </a:rPr>
                          <m:t>1</m:t>
                        </m:r>
                      </m:sub>
                    </m:sSub>
                    <m:r>
                      <a:rPr lang="nl-NL" sz="1100" b="0" i="1">
                        <a:latin typeface="Cambria Math" panose="02040503050406030204" pitchFamily="18" charset="0"/>
                      </a:rPr>
                      <m:t>=</m:t>
                    </m:r>
                  </m:oMath>
                </m:oMathPara>
              </a14:m>
              <a:endParaRPr lang="nl-NL" sz="1100"/>
            </a:p>
          </xdr:txBody>
        </xdr:sp>
      </mc:Choice>
      <mc:Fallback xmlns="">
        <xdr:sp macro="" textlink="">
          <xdr:nvSpPr>
            <xdr:cNvPr id="3" name="TextBox 2"/>
            <xdr:cNvSpPr txBox="1"/>
          </xdr:nvSpPr>
          <xdr:spPr>
            <a:xfrm>
              <a:off x="2495550" y="400050"/>
              <a:ext cx="31399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NL" sz="1100" b="0" i="0">
                  <a:latin typeface="Cambria Math" panose="02040503050406030204" pitchFamily="18" charset="0"/>
                </a:rPr>
                <a:t>𝑣_1=</a:t>
              </a:r>
              <a:endParaRPr lang="nl-NL" sz="1100"/>
            </a:p>
          </xdr:txBody>
        </xdr:sp>
      </mc:Fallback>
    </mc:AlternateContent>
    <xdr:clientData/>
  </xdr:oneCellAnchor>
  <xdr:oneCellAnchor>
    <xdr:from>
      <xdr:col>0</xdr:col>
      <xdr:colOff>2495550</xdr:colOff>
      <xdr:row>4</xdr:row>
      <xdr:rowOff>9525</xdr:rowOff>
    </xdr:from>
    <xdr:ext cx="317266"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 xmlns:a16="http://schemas.microsoft.com/office/drawing/2014/main" id="{00000000-0008-0000-0100-000004000000}"/>
                </a:ext>
              </a:extLst>
            </xdr:cNvPr>
            <xdr:cNvSpPr txBox="1"/>
          </xdr:nvSpPr>
          <xdr:spPr>
            <a:xfrm>
              <a:off x="2495550" y="581025"/>
              <a:ext cx="31726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𝑣</m:t>
                        </m:r>
                      </m:e>
                      <m:sub>
                        <m:r>
                          <a:rPr lang="nl-NL" sz="1100" b="0" i="1">
                            <a:latin typeface="Cambria Math" panose="02040503050406030204" pitchFamily="18" charset="0"/>
                          </a:rPr>
                          <m:t>2</m:t>
                        </m:r>
                      </m:sub>
                    </m:sSub>
                    <m:r>
                      <a:rPr lang="nl-NL" sz="1100" b="0" i="1">
                        <a:latin typeface="Cambria Math" panose="02040503050406030204" pitchFamily="18" charset="0"/>
                      </a:rPr>
                      <m:t>=</m:t>
                    </m:r>
                  </m:oMath>
                </m:oMathPara>
              </a14:m>
              <a:endParaRPr lang="nl-NL" sz="1100"/>
            </a:p>
          </xdr:txBody>
        </xdr:sp>
      </mc:Choice>
      <mc:Fallback xmlns="">
        <xdr:sp macro="" textlink="">
          <xdr:nvSpPr>
            <xdr:cNvPr id="4" name="TextBox 3"/>
            <xdr:cNvSpPr txBox="1"/>
          </xdr:nvSpPr>
          <xdr:spPr>
            <a:xfrm>
              <a:off x="2495550" y="581025"/>
              <a:ext cx="31726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NL" sz="1100" b="0" i="0">
                  <a:latin typeface="Cambria Math" panose="02040503050406030204" pitchFamily="18" charset="0"/>
                </a:rPr>
                <a:t>𝑣_2=</a:t>
              </a:r>
              <a:endParaRPr lang="nl-NL" sz="1100"/>
            </a:p>
          </xdr:txBody>
        </xdr:sp>
      </mc:Fallback>
    </mc:AlternateContent>
    <xdr:clientData/>
  </xdr:oneCellAnchor>
  <xdr:oneCellAnchor>
    <xdr:from>
      <xdr:col>0</xdr:col>
      <xdr:colOff>2486025</xdr:colOff>
      <xdr:row>5</xdr:row>
      <xdr:rowOff>19050</xdr:rowOff>
    </xdr:from>
    <xdr:ext cx="310661"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 xmlns:a16="http://schemas.microsoft.com/office/drawing/2014/main" id="{00000000-0008-0000-0100-000005000000}"/>
                </a:ext>
              </a:extLst>
            </xdr:cNvPr>
            <xdr:cNvSpPr txBox="1"/>
          </xdr:nvSpPr>
          <xdr:spPr>
            <a:xfrm>
              <a:off x="2486025" y="781050"/>
              <a:ext cx="310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𝑇</m:t>
                        </m:r>
                      </m:e>
                      <m:sub>
                        <m:r>
                          <a:rPr lang="nl-NL" sz="1100" b="0" i="1">
                            <a:latin typeface="Cambria Math" panose="02040503050406030204" pitchFamily="18" charset="0"/>
                          </a:rPr>
                          <m:t>2</m:t>
                        </m:r>
                      </m:sub>
                    </m:sSub>
                    <m:r>
                      <a:rPr lang="nl-NL" sz="1100" b="0" i="1">
                        <a:latin typeface="Cambria Math" panose="02040503050406030204" pitchFamily="18" charset="0"/>
                      </a:rPr>
                      <m:t>=</m:t>
                    </m:r>
                  </m:oMath>
                </m:oMathPara>
              </a14:m>
              <a:endParaRPr lang="nl-NL" sz="1100"/>
            </a:p>
          </xdr:txBody>
        </xdr:sp>
      </mc:Choice>
      <mc:Fallback xmlns="">
        <xdr:sp macro="" textlink="">
          <xdr:nvSpPr>
            <xdr:cNvPr id="5" name="TextBox 4"/>
            <xdr:cNvSpPr txBox="1"/>
          </xdr:nvSpPr>
          <xdr:spPr>
            <a:xfrm>
              <a:off x="2486025" y="781050"/>
              <a:ext cx="310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NL" sz="1100" b="0" i="0">
                  <a:latin typeface="Cambria Math" panose="02040503050406030204" pitchFamily="18" charset="0"/>
                </a:rPr>
                <a:t>𝑇_2=</a:t>
              </a:r>
              <a:endParaRPr lang="nl-NL" sz="1100"/>
            </a:p>
          </xdr:txBody>
        </xdr:sp>
      </mc:Fallback>
    </mc:AlternateContent>
    <xdr:clientData/>
  </xdr:oneCellAnchor>
  <xdr:oneCellAnchor>
    <xdr:from>
      <xdr:col>0</xdr:col>
      <xdr:colOff>2486025</xdr:colOff>
      <xdr:row>1</xdr:row>
      <xdr:rowOff>19050</xdr:rowOff>
    </xdr:from>
    <xdr:ext cx="307392"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 xmlns:a16="http://schemas.microsoft.com/office/drawing/2014/main" id="{00000000-0008-0000-0100-000006000000}"/>
                </a:ext>
              </a:extLst>
            </xdr:cNvPr>
            <xdr:cNvSpPr txBox="1"/>
          </xdr:nvSpPr>
          <xdr:spPr>
            <a:xfrm>
              <a:off x="2486025" y="781050"/>
              <a:ext cx="3073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𝑇</m:t>
                        </m:r>
                      </m:e>
                      <m:sub>
                        <m:r>
                          <a:rPr lang="nl-NL" sz="1100" b="0" i="1">
                            <a:latin typeface="Cambria Math" panose="02040503050406030204" pitchFamily="18" charset="0"/>
                          </a:rPr>
                          <m:t>1</m:t>
                        </m:r>
                      </m:sub>
                    </m:sSub>
                    <m:r>
                      <a:rPr lang="nl-NL" sz="1100" b="0" i="1">
                        <a:latin typeface="Cambria Math" panose="02040503050406030204" pitchFamily="18" charset="0"/>
                      </a:rPr>
                      <m:t>=</m:t>
                    </m:r>
                  </m:oMath>
                </m:oMathPara>
              </a14:m>
              <a:endParaRPr lang="nl-NL" sz="1100"/>
            </a:p>
          </xdr:txBody>
        </xdr:sp>
      </mc:Choice>
      <mc:Fallback xmlns="">
        <xdr:sp macro="" textlink="">
          <xdr:nvSpPr>
            <xdr:cNvPr id="6" name="TextBox 5"/>
            <xdr:cNvSpPr txBox="1"/>
          </xdr:nvSpPr>
          <xdr:spPr>
            <a:xfrm>
              <a:off x="2486025" y="781050"/>
              <a:ext cx="3073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nl-NL" sz="1100" b="0" i="0">
                  <a:latin typeface="Cambria Math" panose="02040503050406030204" pitchFamily="18" charset="0"/>
                </a:rPr>
                <a:t>𝑇_1=</a:t>
              </a:r>
              <a:endParaRPr lang="nl-NL" sz="1100"/>
            </a:p>
          </xdr:txBody>
        </xdr:sp>
      </mc:Fallback>
    </mc:AlternateContent>
    <xdr:clientData/>
  </xdr:oneCellAnchor>
  <xdr:oneCellAnchor>
    <xdr:from>
      <xdr:col>0</xdr:col>
      <xdr:colOff>2495550</xdr:colOff>
      <xdr:row>7</xdr:row>
      <xdr:rowOff>19050</xdr:rowOff>
    </xdr:from>
    <xdr:ext cx="300019"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 xmlns:a16="http://schemas.microsoft.com/office/drawing/2014/main" id="{00000000-0008-0000-0100-000003000000}"/>
                </a:ext>
              </a:extLst>
            </xdr:cNvPr>
            <xdr:cNvSpPr txBox="1"/>
          </xdr:nvSpPr>
          <xdr:spPr>
            <a:xfrm>
              <a:off x="2495550" y="1352550"/>
              <a:ext cx="30001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𝑐</m:t>
                        </m:r>
                      </m:e>
                      <m:sub>
                        <m:r>
                          <a:rPr lang="nl-NL" sz="1100" b="0" i="1">
                            <a:latin typeface="Cambria Math" panose="02040503050406030204" pitchFamily="18" charset="0"/>
                          </a:rPr>
                          <m:t>1</m:t>
                        </m:r>
                      </m:sub>
                    </m:sSub>
                    <m:r>
                      <a:rPr lang="nl-NL" sz="1100" b="0" i="1">
                        <a:latin typeface="Cambria Math" panose="02040503050406030204" pitchFamily="18" charset="0"/>
                      </a:rPr>
                      <m:t>=</m:t>
                    </m:r>
                  </m:oMath>
                </m:oMathPara>
              </a14:m>
              <a:endParaRPr lang="nl-NL" sz="1100"/>
            </a:p>
          </xdr:txBody>
        </xdr:sp>
      </mc:Choice>
      <mc:Fallback xmlns="">
        <xdr:sp macro="" textlink="">
          <xdr:nvSpPr>
            <xdr:cNvPr id="7" name="TextBox 6">
              <a:extLst>
                <a:ext uri="{FF2B5EF4-FFF2-40B4-BE49-F238E27FC236}">
                  <a16:creationId xmlns="" xmlns:a16="http://schemas.microsoft.com/office/drawing/2014/main" xmlns:a14="http://schemas.microsoft.com/office/drawing/2010/main" id="{00000000-0008-0000-0100-000003000000}"/>
                </a:ext>
              </a:extLst>
            </xdr:cNvPr>
            <xdr:cNvSpPr txBox="1"/>
          </xdr:nvSpPr>
          <xdr:spPr>
            <a:xfrm>
              <a:off x="2495550" y="1352550"/>
              <a:ext cx="30001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nl-NL" sz="1100" b="0" i="0">
                  <a:latin typeface="Cambria Math" panose="02040503050406030204" pitchFamily="18" charset="0"/>
                </a:rPr>
                <a:t>𝑐_1=</a:t>
              </a:r>
              <a:endParaRPr lang="nl-NL" sz="1100"/>
            </a:p>
          </xdr:txBody>
        </xdr:sp>
      </mc:Fallback>
    </mc:AlternateContent>
    <xdr:clientData/>
  </xdr:oneCellAnchor>
  <xdr:oneCellAnchor>
    <xdr:from>
      <xdr:col>0</xdr:col>
      <xdr:colOff>2495550</xdr:colOff>
      <xdr:row>8</xdr:row>
      <xdr:rowOff>9525</xdr:rowOff>
    </xdr:from>
    <xdr:ext cx="303288"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 xmlns:a16="http://schemas.microsoft.com/office/drawing/2014/main" id="{00000000-0008-0000-0100-000004000000}"/>
                </a:ext>
              </a:extLst>
            </xdr:cNvPr>
            <xdr:cNvSpPr txBox="1"/>
          </xdr:nvSpPr>
          <xdr:spPr>
            <a:xfrm>
              <a:off x="2495550" y="1533525"/>
              <a:ext cx="3032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𝑐</m:t>
                        </m:r>
                      </m:e>
                      <m:sub>
                        <m:r>
                          <a:rPr lang="nl-NL" sz="1100" b="0" i="1">
                            <a:latin typeface="Cambria Math" panose="02040503050406030204" pitchFamily="18" charset="0"/>
                          </a:rPr>
                          <m:t>2</m:t>
                        </m:r>
                      </m:sub>
                    </m:sSub>
                    <m:r>
                      <a:rPr lang="nl-NL" sz="1100" b="0" i="1">
                        <a:latin typeface="Cambria Math" panose="02040503050406030204" pitchFamily="18" charset="0"/>
                      </a:rPr>
                      <m:t>=</m:t>
                    </m:r>
                  </m:oMath>
                </m:oMathPara>
              </a14:m>
              <a:endParaRPr lang="nl-NL" sz="1100"/>
            </a:p>
          </xdr:txBody>
        </xdr:sp>
      </mc:Choice>
      <mc:Fallback xmlns="">
        <xdr:sp macro="" textlink="">
          <xdr:nvSpPr>
            <xdr:cNvPr id="8" name="TextBox 7">
              <a:extLst>
                <a:ext uri="{FF2B5EF4-FFF2-40B4-BE49-F238E27FC236}">
                  <a16:creationId xmlns="" xmlns:a16="http://schemas.microsoft.com/office/drawing/2014/main" xmlns:a14="http://schemas.microsoft.com/office/drawing/2010/main" id="{00000000-0008-0000-0100-000004000000}"/>
                </a:ext>
              </a:extLst>
            </xdr:cNvPr>
            <xdr:cNvSpPr txBox="1"/>
          </xdr:nvSpPr>
          <xdr:spPr>
            <a:xfrm>
              <a:off x="2495550" y="1533525"/>
              <a:ext cx="3032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nl-NL" sz="1100" b="0" i="0">
                  <a:latin typeface="Cambria Math" panose="02040503050406030204" pitchFamily="18" charset="0"/>
                </a:rPr>
                <a:t>𝑐_2=</a:t>
              </a:r>
              <a:endParaRPr lang="nl-NL"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2609850</xdr:colOff>
      <xdr:row>2</xdr:row>
      <xdr:rowOff>9526</xdr:rowOff>
    </xdr:from>
    <xdr:to>
      <xdr:col>0</xdr:col>
      <xdr:colOff>3000375</xdr:colOff>
      <xdr:row>2</xdr:row>
      <xdr:rowOff>180976</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 xmlns:a16="http://schemas.microsoft.com/office/drawing/2014/main" id="{00000000-0008-0000-0200-000002000000}"/>
                </a:ext>
              </a:extLst>
            </xdr:cNvPr>
            <xdr:cNvSpPr txBox="1"/>
          </xdr:nvSpPr>
          <xdr:spPr>
            <a:xfrm>
              <a:off x="2609850" y="200026"/>
              <a:ext cx="390525"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𝑇</m:t>
                        </m:r>
                      </m:e>
                      <m:sub>
                        <m:r>
                          <a:rPr lang="nl-NL" sz="1100" b="0" i="1">
                            <a:latin typeface="Cambria Math" panose="02040503050406030204" pitchFamily="18" charset="0"/>
                          </a:rPr>
                          <m:t>3</m:t>
                        </m:r>
                      </m:sub>
                    </m:sSub>
                    <m:r>
                      <a:rPr lang="nl-NL" sz="1100" b="0" i="1">
                        <a:latin typeface="Cambria Math" panose="02040503050406030204" pitchFamily="18" charset="0"/>
                      </a:rPr>
                      <m:t>=</m:t>
                    </m:r>
                  </m:oMath>
                </m:oMathPara>
              </a14:m>
              <a:endParaRPr lang="nl-NL" sz="1100"/>
            </a:p>
          </xdr:txBody>
        </xdr:sp>
      </mc:Choice>
      <mc:Fallback xmlns="">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609850" y="200026"/>
              <a:ext cx="390525"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𝑇_3=</a:t>
              </a:r>
              <a:endParaRPr lang="nl-NL" sz="1100"/>
            </a:p>
          </xdr:txBody>
        </xdr:sp>
      </mc:Fallback>
    </mc:AlternateContent>
    <xdr:clientData/>
  </xdr:twoCellAnchor>
  <xdr:twoCellAnchor>
    <xdr:from>
      <xdr:col>0</xdr:col>
      <xdr:colOff>2600325</xdr:colOff>
      <xdr:row>3</xdr:row>
      <xdr:rowOff>9526</xdr:rowOff>
    </xdr:from>
    <xdr:to>
      <xdr:col>0</xdr:col>
      <xdr:colOff>2990850</xdr:colOff>
      <xdr:row>3</xdr:row>
      <xdr:rowOff>180976</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 xmlns:a16="http://schemas.microsoft.com/office/drawing/2014/main" id="{00000000-0008-0000-0200-000003000000}"/>
                </a:ext>
              </a:extLst>
            </xdr:cNvPr>
            <xdr:cNvSpPr txBox="1"/>
          </xdr:nvSpPr>
          <xdr:spPr>
            <a:xfrm>
              <a:off x="2600325" y="390526"/>
              <a:ext cx="390525"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𝑣</m:t>
                        </m:r>
                      </m:e>
                      <m:sub>
                        <m:r>
                          <a:rPr lang="nl-NL" sz="1100" b="0" i="1">
                            <a:latin typeface="Cambria Math" panose="02040503050406030204" pitchFamily="18" charset="0"/>
                          </a:rPr>
                          <m:t>3</m:t>
                        </m:r>
                      </m:sub>
                    </m:sSub>
                    <m:r>
                      <a:rPr lang="nl-NL" sz="1100" b="0" i="1">
                        <a:latin typeface="Cambria Math" panose="02040503050406030204" pitchFamily="18" charset="0"/>
                      </a:rPr>
                      <m:t>=</m:t>
                    </m:r>
                  </m:oMath>
                </m:oMathPara>
              </a14:m>
              <a:endParaRPr lang="nl-NL" sz="1100"/>
            </a:p>
          </xdr:txBody>
        </xdr:sp>
      </mc:Choice>
      <mc:Fallback xmlns="">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2600325" y="390526"/>
              <a:ext cx="390525"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𝑣_3=</a:t>
              </a:r>
              <a:endParaRPr lang="nl-NL" sz="1100"/>
            </a:p>
          </xdr:txBody>
        </xdr:sp>
      </mc:Fallback>
    </mc:AlternateContent>
    <xdr:clientData/>
  </xdr:twoCellAnchor>
  <xdr:oneCellAnchor>
    <xdr:from>
      <xdr:col>0</xdr:col>
      <xdr:colOff>2609850</xdr:colOff>
      <xdr:row>5</xdr:row>
      <xdr:rowOff>19050</xdr:rowOff>
    </xdr:from>
    <xdr:ext cx="303288"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 xmlns:a16="http://schemas.microsoft.com/office/drawing/2014/main" id="{00000000-0008-0000-0100-000004000000}"/>
                </a:ext>
              </a:extLst>
            </xdr:cNvPr>
            <xdr:cNvSpPr txBox="1"/>
          </xdr:nvSpPr>
          <xdr:spPr>
            <a:xfrm>
              <a:off x="2609850" y="971550"/>
              <a:ext cx="3032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𝑐</m:t>
                        </m:r>
                      </m:e>
                      <m:sub>
                        <m:r>
                          <a:rPr lang="nl-NL" sz="1100" b="0" i="1">
                            <a:latin typeface="Cambria Math" panose="02040503050406030204" pitchFamily="18" charset="0"/>
                          </a:rPr>
                          <m:t>3</m:t>
                        </m:r>
                      </m:sub>
                    </m:sSub>
                    <m:r>
                      <a:rPr lang="nl-NL" sz="1100" b="0" i="1">
                        <a:latin typeface="Cambria Math" panose="02040503050406030204" pitchFamily="18" charset="0"/>
                      </a:rPr>
                      <m:t>=</m:t>
                    </m:r>
                  </m:oMath>
                </m:oMathPara>
              </a14:m>
              <a:endParaRPr lang="nl-NL" sz="1100"/>
            </a:p>
          </xdr:txBody>
        </xdr:sp>
      </mc:Choice>
      <mc:Fallback xmlns="">
        <xdr:sp macro="" textlink="">
          <xdr:nvSpPr>
            <xdr:cNvPr id="5" name="TextBox 4">
              <a:extLst>
                <a:ext uri="{FF2B5EF4-FFF2-40B4-BE49-F238E27FC236}">
                  <a16:creationId xmlns="" xmlns:a16="http://schemas.microsoft.com/office/drawing/2014/main" xmlns:a14="http://schemas.microsoft.com/office/drawing/2010/main" id="{00000000-0008-0000-0100-000004000000}"/>
                </a:ext>
              </a:extLst>
            </xdr:cNvPr>
            <xdr:cNvSpPr txBox="1"/>
          </xdr:nvSpPr>
          <xdr:spPr>
            <a:xfrm>
              <a:off x="2609850" y="971550"/>
              <a:ext cx="3032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nl-NL" sz="1100" b="0" i="0">
                  <a:latin typeface="Cambria Math" panose="02040503050406030204" pitchFamily="18" charset="0"/>
                </a:rPr>
                <a:t>𝑐_3=</a:t>
              </a:r>
              <a:endParaRPr lang="nl-NL"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0</xdr:col>
      <xdr:colOff>2524124</xdr:colOff>
      <xdr:row>1</xdr:row>
      <xdr:rowOff>19050</xdr:rowOff>
    </xdr:from>
    <xdr:to>
      <xdr:col>1</xdr:col>
      <xdr:colOff>9524</xdr:colOff>
      <xdr:row>1</xdr:row>
      <xdr:rowOff>180975</xdr:rowOff>
    </xdr:to>
    <mc:AlternateContent xmlns:mc="http://schemas.openxmlformats.org/markup-compatibility/2006" xmlns:a14="http://schemas.microsoft.com/office/drawing/2010/main">
      <mc:Choice Requires="a14">
        <xdr:sp macro="" textlink="">
          <xdr:nvSpPr>
            <xdr:cNvPr id="2" name="TextBox 2">
              <a:extLst>
                <a:ext uri="{FF2B5EF4-FFF2-40B4-BE49-F238E27FC236}">
                  <a16:creationId xmlns="" xmlns:a16="http://schemas.microsoft.com/office/drawing/2014/main" id="{50B14B88-1B4C-437A-9347-C670704C7CE1}"/>
                </a:ext>
              </a:extLst>
            </xdr:cNvPr>
            <xdr:cNvSpPr txBox="1"/>
          </xdr:nvSpPr>
          <xdr:spPr>
            <a:xfrm>
              <a:off x="2524124" y="209550"/>
              <a:ext cx="447675"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𝑣</m:t>
                        </m:r>
                      </m:e>
                      <m:sub>
                        <m:r>
                          <a:rPr lang="nl-NL" sz="1100" b="0" i="1">
                            <a:latin typeface="Cambria Math" panose="02040503050406030204" pitchFamily="18" charset="0"/>
                          </a:rPr>
                          <m:t>4</m:t>
                        </m:r>
                      </m:sub>
                    </m:sSub>
                    <m:r>
                      <a:rPr lang="nl-NL" sz="1100" b="0" i="1">
                        <a:latin typeface="Cambria Math" panose="02040503050406030204" pitchFamily="18" charset="0"/>
                      </a:rPr>
                      <m:t>=</m:t>
                    </m:r>
                  </m:oMath>
                </m:oMathPara>
              </a14:m>
              <a:endParaRPr lang="nl-NL" sz="1100"/>
            </a:p>
          </xdr:txBody>
        </xdr:sp>
      </mc:Choice>
      <mc:Fallback xmlns="">
        <xdr:sp macro="" textlink="">
          <xdr:nvSpPr>
            <xdr:cNvPr id="2" name="TextBox 2">
              <a:extLst>
                <a:ext uri="{FF2B5EF4-FFF2-40B4-BE49-F238E27FC236}">
                  <a16:creationId xmlns="" xmlns:a16="http://schemas.microsoft.com/office/drawing/2014/main" xmlns:a14="http://schemas.microsoft.com/office/drawing/2010/main" id="{50B14B88-1B4C-437A-9347-C670704C7CE1}"/>
                </a:ext>
              </a:extLst>
            </xdr:cNvPr>
            <xdr:cNvSpPr txBox="1"/>
          </xdr:nvSpPr>
          <xdr:spPr>
            <a:xfrm>
              <a:off x="2524124" y="209550"/>
              <a:ext cx="447675" cy="161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𝑣_4=</a:t>
              </a:r>
              <a:endParaRPr lang="nl-NL" sz="1100"/>
            </a:p>
          </xdr:txBody>
        </xdr:sp>
      </mc:Fallback>
    </mc:AlternateContent>
    <xdr:clientData/>
  </xdr:twoCellAnchor>
  <xdr:twoCellAnchor>
    <xdr:from>
      <xdr:col>0</xdr:col>
      <xdr:colOff>2543175</xdr:colOff>
      <xdr:row>2</xdr:row>
      <xdr:rowOff>19050</xdr:rowOff>
    </xdr:from>
    <xdr:to>
      <xdr:col>1</xdr:col>
      <xdr:colOff>0</xdr:colOff>
      <xdr:row>3</xdr:row>
      <xdr:rowOff>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 xmlns:a16="http://schemas.microsoft.com/office/drawing/2014/main" id="{C5994B67-E028-41BB-A0D8-01B3A12200BA}"/>
                </a:ext>
              </a:extLst>
            </xdr:cNvPr>
            <xdr:cNvSpPr txBox="1"/>
          </xdr:nvSpPr>
          <xdr:spPr>
            <a:xfrm>
              <a:off x="2543175" y="400050"/>
              <a:ext cx="41910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𝑇</m:t>
                        </m:r>
                      </m:e>
                      <m:sub>
                        <m:r>
                          <a:rPr lang="nl-NL" sz="1100" b="0" i="1">
                            <a:latin typeface="Cambria Math" panose="02040503050406030204" pitchFamily="18" charset="0"/>
                          </a:rPr>
                          <m:t>4</m:t>
                        </m:r>
                      </m:sub>
                    </m:sSub>
                    <m:r>
                      <a:rPr lang="nl-NL" sz="1100" b="0" i="1">
                        <a:latin typeface="Cambria Math" panose="02040503050406030204" pitchFamily="18" charset="0"/>
                      </a:rPr>
                      <m:t>=</m:t>
                    </m:r>
                  </m:oMath>
                </m:oMathPara>
              </a14:m>
              <a:endParaRPr lang="nl-NL" sz="1100"/>
            </a:p>
          </xdr:txBody>
        </xdr:sp>
      </mc:Choice>
      <mc:Fallback xmlns="">
        <xdr:sp macro="" textlink="">
          <xdr:nvSpPr>
            <xdr:cNvPr id="3" name="TextBox 2">
              <a:extLst>
                <a:ext uri="{FF2B5EF4-FFF2-40B4-BE49-F238E27FC236}">
                  <a16:creationId xmlns="" xmlns:a16="http://schemas.microsoft.com/office/drawing/2014/main" xmlns:a14="http://schemas.microsoft.com/office/drawing/2010/main" id="{C5994B67-E028-41BB-A0D8-01B3A12200BA}"/>
                </a:ext>
              </a:extLst>
            </xdr:cNvPr>
            <xdr:cNvSpPr txBox="1"/>
          </xdr:nvSpPr>
          <xdr:spPr>
            <a:xfrm>
              <a:off x="2543175" y="400050"/>
              <a:ext cx="419100" cy="171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nl-NL" sz="1100" b="0" i="0">
                  <a:latin typeface="Cambria Math" panose="02040503050406030204" pitchFamily="18" charset="0"/>
                </a:rPr>
                <a:t>𝑇_4=</a:t>
              </a:r>
              <a:endParaRPr lang="nl-NL" sz="1100"/>
            </a:p>
          </xdr:txBody>
        </xdr:sp>
      </mc:Fallback>
    </mc:AlternateContent>
    <xdr:clientData/>
  </xdr:twoCellAnchor>
  <xdr:oneCellAnchor>
    <xdr:from>
      <xdr:col>0</xdr:col>
      <xdr:colOff>2571750</xdr:colOff>
      <xdr:row>4</xdr:row>
      <xdr:rowOff>0</xdr:rowOff>
    </xdr:from>
    <xdr:ext cx="303288"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 xmlns:a16="http://schemas.microsoft.com/office/drawing/2014/main" id="{00000000-0008-0000-0100-000004000000}"/>
                </a:ext>
              </a:extLst>
            </xdr:cNvPr>
            <xdr:cNvSpPr txBox="1"/>
          </xdr:nvSpPr>
          <xdr:spPr>
            <a:xfrm>
              <a:off x="2571750" y="762000"/>
              <a:ext cx="3032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nl-NL" sz="1100" b="0" i="1">
                            <a:latin typeface="Cambria Math" panose="02040503050406030204" pitchFamily="18" charset="0"/>
                          </a:rPr>
                        </m:ctrlPr>
                      </m:sSubPr>
                      <m:e>
                        <m:r>
                          <a:rPr lang="nl-NL" sz="1100" b="0" i="1">
                            <a:latin typeface="Cambria Math" panose="02040503050406030204" pitchFamily="18" charset="0"/>
                          </a:rPr>
                          <m:t>𝑐</m:t>
                        </m:r>
                      </m:e>
                      <m:sub>
                        <m:r>
                          <a:rPr lang="nl-NL" sz="1100" b="0" i="1">
                            <a:latin typeface="Cambria Math" panose="02040503050406030204" pitchFamily="18" charset="0"/>
                          </a:rPr>
                          <m:t>4</m:t>
                        </m:r>
                      </m:sub>
                    </m:sSub>
                    <m:r>
                      <a:rPr lang="nl-NL" sz="1100" b="0" i="1">
                        <a:latin typeface="Cambria Math" panose="02040503050406030204" pitchFamily="18" charset="0"/>
                      </a:rPr>
                      <m:t>=</m:t>
                    </m:r>
                  </m:oMath>
                </m:oMathPara>
              </a14:m>
              <a:endParaRPr lang="nl-NL" sz="1100"/>
            </a:p>
          </xdr:txBody>
        </xdr:sp>
      </mc:Choice>
      <mc:Fallback xmlns="">
        <xdr:sp macro="" textlink="">
          <xdr:nvSpPr>
            <xdr:cNvPr id="4" name="TextBox 3">
              <a:extLst>
                <a:ext uri="{FF2B5EF4-FFF2-40B4-BE49-F238E27FC236}">
                  <a16:creationId xmlns="" xmlns:a16="http://schemas.microsoft.com/office/drawing/2014/main" xmlns:a14="http://schemas.microsoft.com/office/drawing/2010/main" id="{00000000-0008-0000-0100-000004000000}"/>
                </a:ext>
              </a:extLst>
            </xdr:cNvPr>
            <xdr:cNvSpPr txBox="1"/>
          </xdr:nvSpPr>
          <xdr:spPr>
            <a:xfrm>
              <a:off x="2571750" y="762000"/>
              <a:ext cx="30328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nl-NL" sz="1100" b="0" i="0">
                  <a:latin typeface="Cambria Math" panose="02040503050406030204" pitchFamily="18" charset="0"/>
                </a:rPr>
                <a:t>𝑐_4=</a:t>
              </a:r>
              <a:endParaRPr lang="nl-NL"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9"/>
  <sheetViews>
    <sheetView tabSelected="1" workbookViewId="0">
      <selection activeCell="D3" sqref="D3"/>
    </sheetView>
  </sheetViews>
  <sheetFormatPr defaultColWidth="9.109375" defaultRowHeight="14.4" x14ac:dyDescent="0.3"/>
  <cols>
    <col min="1" max="1" width="66" style="4" customWidth="1"/>
    <col min="2" max="2" width="8.88671875" style="4" bestFit="1" customWidth="1"/>
    <col min="3" max="3" width="10.109375" style="4" bestFit="1" customWidth="1"/>
    <col min="4" max="4" width="14.33203125" style="4" bestFit="1" customWidth="1"/>
    <col min="5" max="5" width="11.5546875" style="4" bestFit="1" customWidth="1"/>
    <col min="6" max="6" width="11.6640625" style="4" bestFit="1" customWidth="1"/>
    <col min="7" max="16384" width="9.109375" style="4"/>
  </cols>
  <sheetData>
    <row r="1" spans="1:3" x14ac:dyDescent="0.3">
      <c r="A1" s="1" t="s">
        <v>43</v>
      </c>
      <c r="B1" s="36"/>
      <c r="C1" s="36"/>
    </row>
    <row r="2" spans="1:3" ht="72" x14ac:dyDescent="0.3">
      <c r="A2" s="37" t="s">
        <v>67</v>
      </c>
      <c r="B2" s="36"/>
      <c r="C2" s="36"/>
    </row>
    <row r="3" spans="1:3" ht="28.8" x14ac:dyDescent="0.3">
      <c r="A3" s="38" t="s">
        <v>44</v>
      </c>
      <c r="B3" s="36"/>
      <c r="C3" s="36"/>
    </row>
    <row r="4" spans="1:3" ht="43.2" x14ac:dyDescent="0.3">
      <c r="A4" s="39" t="s">
        <v>45</v>
      </c>
      <c r="B4" s="36"/>
      <c r="C4" s="36"/>
    </row>
    <row r="6" spans="1:3" x14ac:dyDescent="0.3">
      <c r="A6" s="1" t="s">
        <v>18</v>
      </c>
    </row>
    <row r="7" spans="1:3" x14ac:dyDescent="0.3">
      <c r="A7" s="4" t="s">
        <v>16</v>
      </c>
      <c r="B7" s="42">
        <v>273.14999999999998</v>
      </c>
      <c r="C7" s="4" t="s">
        <v>17</v>
      </c>
    </row>
    <row r="8" spans="1:3" x14ac:dyDescent="0.3">
      <c r="A8" s="4" t="s">
        <v>4</v>
      </c>
    </row>
    <row r="9" spans="1:3" x14ac:dyDescent="0.3">
      <c r="B9" s="11">
        <v>1005</v>
      </c>
      <c r="C9" s="4" t="s">
        <v>3</v>
      </c>
    </row>
    <row r="10" spans="1:3" x14ac:dyDescent="0.3">
      <c r="B10" s="11">
        <v>716</v>
      </c>
      <c r="C10" s="4" t="s">
        <v>3</v>
      </c>
    </row>
    <row r="12" spans="1:3" x14ac:dyDescent="0.3">
      <c r="A12" s="6" t="s">
        <v>42</v>
      </c>
      <c r="B12" s="10">
        <v>1.0129999999999999</v>
      </c>
      <c r="C12" s="4" t="s">
        <v>0</v>
      </c>
    </row>
    <row r="13" spans="1:3" x14ac:dyDescent="0.3">
      <c r="A13" s="4" t="s">
        <v>8</v>
      </c>
      <c r="B13" s="11">
        <v>6000</v>
      </c>
      <c r="C13" s="4" t="s">
        <v>1</v>
      </c>
    </row>
    <row r="14" spans="1:3" x14ac:dyDescent="0.3">
      <c r="A14" s="4" t="s">
        <v>13</v>
      </c>
      <c r="B14" s="11">
        <v>15</v>
      </c>
      <c r="C14" s="4" t="s">
        <v>11</v>
      </c>
    </row>
    <row r="15" spans="1:3" x14ac:dyDescent="0.3">
      <c r="A15" s="6" t="s">
        <v>48</v>
      </c>
      <c r="B15" s="43">
        <v>1</v>
      </c>
      <c r="C15" s="6" t="s">
        <v>49</v>
      </c>
    </row>
    <row r="16" spans="1:3" x14ac:dyDescent="0.3">
      <c r="A16" s="4" t="s">
        <v>2</v>
      </c>
      <c r="B16" s="12">
        <v>10</v>
      </c>
      <c r="C16" s="4" t="s">
        <v>0</v>
      </c>
    </row>
    <row r="17" spans="1:4" x14ac:dyDescent="0.3">
      <c r="A17" s="6" t="s">
        <v>50</v>
      </c>
      <c r="B17" s="43">
        <v>0.5</v>
      </c>
      <c r="C17" s="6" t="s">
        <v>49</v>
      </c>
    </row>
    <row r="19" spans="1:4" x14ac:dyDescent="0.3">
      <c r="A19" s="4" t="s">
        <v>9</v>
      </c>
      <c r="B19" s="11">
        <v>2000</v>
      </c>
      <c r="C19" s="4" t="s">
        <v>7</v>
      </c>
    </row>
    <row r="20" spans="1:4" x14ac:dyDescent="0.3">
      <c r="A20" s="6" t="s">
        <v>61</v>
      </c>
      <c r="B20" s="43">
        <v>0.1</v>
      </c>
      <c r="C20" s="6" t="s">
        <v>49</v>
      </c>
    </row>
    <row r="22" spans="1:4" x14ac:dyDescent="0.3">
      <c r="A22" s="6" t="s">
        <v>63</v>
      </c>
      <c r="B22" s="43">
        <v>1</v>
      </c>
      <c r="C22" s="6" t="s">
        <v>49</v>
      </c>
    </row>
    <row r="24" spans="1:4" x14ac:dyDescent="0.3">
      <c r="A24" s="6" t="s">
        <v>46</v>
      </c>
      <c r="B24" s="40">
        <f>D32*m_flux</f>
        <v>964.66505911641559</v>
      </c>
      <c r="C24" s="4" t="s">
        <v>7</v>
      </c>
    </row>
    <row r="25" spans="1:4" x14ac:dyDescent="0.3">
      <c r="A25" s="6" t="s">
        <v>47</v>
      </c>
      <c r="B25" s="41">
        <f>B24/Q_in</f>
        <v>0.48233252955820782</v>
      </c>
    </row>
    <row r="27" spans="1:4" ht="15.6" x14ac:dyDescent="0.35">
      <c r="A27" s="1" t="s">
        <v>65</v>
      </c>
      <c r="B27" s="1" t="s">
        <v>51</v>
      </c>
      <c r="C27" s="1" t="s">
        <v>56</v>
      </c>
      <c r="D27" s="1" t="s">
        <v>60</v>
      </c>
    </row>
    <row r="28" spans="1:4" x14ac:dyDescent="0.3">
      <c r="A28" s="5" t="s">
        <v>68</v>
      </c>
      <c r="B28" s="7">
        <v>0</v>
      </c>
      <c r="C28" s="13">
        <f>B28-D28</f>
        <v>192.23272554461707</v>
      </c>
      <c r="D28" s="7">
        <f>W_1_2</f>
        <v>-192.23272554461707</v>
      </c>
    </row>
    <row r="29" spans="1:4" x14ac:dyDescent="0.3">
      <c r="A29" s="5" t="s">
        <v>69</v>
      </c>
      <c r="B29" s="7">
        <f>q_2_3</f>
        <v>986.47996051332666</v>
      </c>
      <c r="C29" s="13">
        <f t="shared" ref="C29:C31" si="0">B29-D29</f>
        <v>702.80562360949443</v>
      </c>
      <c r="D29" s="7">
        <f>W_2_3</f>
        <v>283.67433690383223</v>
      </c>
    </row>
    <row r="30" spans="1:4" x14ac:dyDescent="0.3">
      <c r="A30" s="5" t="s">
        <v>70</v>
      </c>
      <c r="B30" s="7">
        <v>0</v>
      </c>
      <c r="C30" s="13">
        <f t="shared" si="0"/>
        <v>-531.21873976791835</v>
      </c>
      <c r="D30" s="7">
        <f>W_3_4</f>
        <v>531.21873976791835</v>
      </c>
    </row>
    <row r="31" spans="1:4" ht="15" thickBot="1" x14ac:dyDescent="0.35">
      <c r="A31" s="5" t="s">
        <v>71</v>
      </c>
      <c r="B31" s="7">
        <f>q_4_1</f>
        <v>-510.66858580045312</v>
      </c>
      <c r="C31" s="13">
        <f t="shared" si="0"/>
        <v>-363.81960938619346</v>
      </c>
      <c r="D31" s="7">
        <f>W_4_1</f>
        <v>-146.84897641425965</v>
      </c>
    </row>
    <row r="32" spans="1:4" ht="15" thickTop="1" x14ac:dyDescent="0.3">
      <c r="A32" s="5" t="s">
        <v>38</v>
      </c>
      <c r="B32" s="8">
        <f>SUM(B28:B31)</f>
        <v>475.81137471287354</v>
      </c>
      <c r="C32" s="9">
        <f>SUM(C28:C31)</f>
        <v>0</v>
      </c>
      <c r="D32" s="8">
        <f>SUM(D28:D31)</f>
        <v>475.81137471287383</v>
      </c>
    </row>
    <row r="34" spans="1:6" ht="15.6" x14ac:dyDescent="0.35">
      <c r="A34" s="44" t="s">
        <v>66</v>
      </c>
      <c r="B34" s="1" t="s">
        <v>51</v>
      </c>
      <c r="C34" s="1" t="s">
        <v>52</v>
      </c>
      <c r="D34" s="1" t="s">
        <v>53</v>
      </c>
      <c r="E34" s="1" t="s">
        <v>54</v>
      </c>
      <c r="F34" s="1" t="s">
        <v>55</v>
      </c>
    </row>
    <row r="35" spans="1:6" x14ac:dyDescent="0.3">
      <c r="A35" s="5" t="s">
        <v>68</v>
      </c>
      <c r="B35" s="7">
        <v>0</v>
      </c>
      <c r="C35" s="46">
        <f>c_p*(T_2-T_1_si)</f>
        <v>269823.86755913438</v>
      </c>
      <c r="D35" s="45">
        <f>B35-C35-E35-F35</f>
        <v>-269823.86638298328</v>
      </c>
      <c r="E35" s="51">
        <f>0.5*(c_2^2-c_1^2)*to_kilo</f>
        <v>-1.1761511029851071E-3</v>
      </c>
      <c r="F35" s="46">
        <v>0</v>
      </c>
    </row>
    <row r="36" spans="1:6" x14ac:dyDescent="0.3">
      <c r="A36" s="5" t="s">
        <v>69</v>
      </c>
      <c r="B36" s="7">
        <f>q_2_3</f>
        <v>986.47996051332666</v>
      </c>
      <c r="C36" s="46">
        <f>c_p*(T_3-T_2)</f>
        <v>986479.96051332669</v>
      </c>
      <c r="D36" s="45">
        <f t="shared" ref="D36:D38" si="1">B36-C36-E36-F36</f>
        <v>-985493.52095416968</v>
      </c>
      <c r="E36" s="51">
        <f>0.5*(c_3^2-c_2^2)*to_kilo</f>
        <v>4.0401356331675221E-2</v>
      </c>
      <c r="F36" s="46">
        <v>0</v>
      </c>
    </row>
    <row r="37" spans="1:6" x14ac:dyDescent="0.3">
      <c r="A37" s="5" t="s">
        <v>70</v>
      </c>
      <c r="B37" s="7">
        <v>0</v>
      </c>
      <c r="C37" s="46">
        <f>c_p*(T_4-T_3)</f>
        <v>-745635.24227200798</v>
      </c>
      <c r="D37" s="45">
        <f t="shared" si="1"/>
        <v>745635.27227990655</v>
      </c>
      <c r="E37" s="51">
        <f>0.5*(c_4^2-c_3^2)*to_kilo</f>
        <v>-3.0007898549161142E-2</v>
      </c>
      <c r="F37" s="46">
        <v>0</v>
      </c>
    </row>
    <row r="38" spans="1:6" ht="15" thickBot="1" x14ac:dyDescent="0.35">
      <c r="A38" s="5" t="s">
        <v>71</v>
      </c>
      <c r="B38" s="7">
        <f>q_4_1</f>
        <v>-510.66858580045312</v>
      </c>
      <c r="C38" s="46">
        <f>c_p*(T_1_si-T_4)</f>
        <v>-510668.58580045309</v>
      </c>
      <c r="D38" s="45">
        <f t="shared" si="1"/>
        <v>510157.92643195932</v>
      </c>
      <c r="E38" s="51">
        <f>0.5*(c_1^2-c_4^2)*to_kilo</f>
        <v>-9.217306679528978E-3</v>
      </c>
      <c r="F38" s="46">
        <v>0</v>
      </c>
    </row>
    <row r="39" spans="1:6" ht="15" thickTop="1" x14ac:dyDescent="0.3">
      <c r="A39" s="5" t="s">
        <v>38</v>
      </c>
      <c r="B39" s="47">
        <f>SUM(B35:B38)</f>
        <v>475.81137471287354</v>
      </c>
      <c r="C39" s="9">
        <f>SUM(C35:C38)</f>
        <v>0</v>
      </c>
      <c r="D39" s="47">
        <f>SUM(D35:D38)</f>
        <v>475.81137471302645</v>
      </c>
      <c r="E39" s="52">
        <f>SUM(E35:E38)</f>
        <v>0</v>
      </c>
      <c r="F39" s="47">
        <f t="shared" ref="F39" si="2">SUM(F35:F38)</f>
        <v>0</v>
      </c>
    </row>
  </sheetData>
  <sheetProtection algorithmName="SHA-512" hashValue="1wp09ad3wqlPqmGwyZ3K3eWKWFYhXgnL4FmNTbddfxP6lxBXeGTnugArKjRGeEFd+mcdt9pGWNcesVRMrZwJ0w==" saltValue="HDIBnyhv8K55XsLoA9DCJQ==" spinCount="100000" sheet="1" objects="1" scenarios="1" formatCells="0" formatColumns="0" formatRows="0"/>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Kringveld 1">
              <controlPr locked="0" defaultSize="0" autoPict="0">
                <anchor moveWithCells="1" sizeWithCells="1">
                  <from>
                    <xdr:col>3</xdr:col>
                    <xdr:colOff>7620</xdr:colOff>
                    <xdr:row>12</xdr:row>
                    <xdr:rowOff>7620</xdr:rowOff>
                  </from>
                  <to>
                    <xdr:col>3</xdr:col>
                    <xdr:colOff>594360</xdr:colOff>
                    <xdr:row>12</xdr:row>
                    <xdr:rowOff>182880</xdr:rowOff>
                  </to>
                </anchor>
              </controlPr>
            </control>
          </mc:Choice>
        </mc:AlternateContent>
        <mc:AlternateContent xmlns:mc="http://schemas.openxmlformats.org/markup-compatibility/2006">
          <mc:Choice Requires="x14">
            <control shapeId="1026" r:id="rId5" name="Kringveld 2">
              <controlPr locked="0" defaultSize="0" autoPict="0">
                <anchor moveWithCells="1" sizeWithCells="1">
                  <from>
                    <xdr:col>3</xdr:col>
                    <xdr:colOff>0</xdr:colOff>
                    <xdr:row>15</xdr:row>
                    <xdr:rowOff>7620</xdr:rowOff>
                  </from>
                  <to>
                    <xdr:col>3</xdr:col>
                    <xdr:colOff>594360</xdr:colOff>
                    <xdr:row>16</xdr:row>
                    <xdr:rowOff>7620</xdr:rowOff>
                  </to>
                </anchor>
              </controlPr>
            </control>
          </mc:Choice>
        </mc:AlternateContent>
        <mc:AlternateContent xmlns:mc="http://schemas.openxmlformats.org/markup-compatibility/2006">
          <mc:Choice Requires="x14">
            <control shapeId="1027" r:id="rId6" name="Kringveld 3">
              <controlPr locked="0" defaultSize="0" autoPict="0">
                <anchor moveWithCells="1" sizeWithCells="1">
                  <from>
                    <xdr:col>3</xdr:col>
                    <xdr:colOff>7620</xdr:colOff>
                    <xdr:row>18</xdr:row>
                    <xdr:rowOff>7620</xdr:rowOff>
                  </from>
                  <to>
                    <xdr:col>3</xdr:col>
                    <xdr:colOff>601980</xdr:colOff>
                    <xdr:row>19</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74" workbookViewId="0">
      <selection activeCell="F4" sqref="F4"/>
    </sheetView>
  </sheetViews>
  <sheetFormatPr defaultRowHeight="14.4" x14ac:dyDescent="0.3"/>
  <cols>
    <col min="1" max="1" width="42.88671875" bestFit="1" customWidth="1"/>
    <col min="2" max="2" width="12.6640625" customWidth="1"/>
    <col min="3" max="3" width="8.33203125" bestFit="1" customWidth="1"/>
    <col min="5" max="5" width="21.88671875" bestFit="1" customWidth="1"/>
    <col min="6" max="6" width="19.6640625" customWidth="1"/>
    <col min="8" max="8" width="11.6640625" bestFit="1" customWidth="1"/>
    <col min="9" max="9" width="5.44140625" bestFit="1" customWidth="1"/>
  </cols>
  <sheetData>
    <row r="1" spans="1:6" x14ac:dyDescent="0.3">
      <c r="A1" s="1" t="s">
        <v>33</v>
      </c>
      <c r="B1" s="1" t="s">
        <v>19</v>
      </c>
      <c r="C1" s="1" t="s">
        <v>20</v>
      </c>
      <c r="E1" s="1" t="s">
        <v>5</v>
      </c>
    </row>
    <row r="2" spans="1:6" x14ac:dyDescent="0.3">
      <c r="A2" t="s">
        <v>29</v>
      </c>
      <c r="B2" s="14">
        <f>T_1_si</f>
        <v>288.14999999999998</v>
      </c>
      <c r="C2" s="2" t="s">
        <v>17</v>
      </c>
      <c r="E2" t="s">
        <v>27</v>
      </c>
      <c r="F2" t="s">
        <v>6</v>
      </c>
    </row>
    <row r="3" spans="1:6" x14ac:dyDescent="0.3">
      <c r="A3" t="s">
        <v>14</v>
      </c>
      <c r="B3" s="15">
        <f>p_atm_si*V_flux_1_si/(Rs*T_1)</f>
        <v>2.0274106723458183</v>
      </c>
      <c r="C3" t="s">
        <v>15</v>
      </c>
      <c r="E3" s="3">
        <f>v_spec_1</f>
        <v>0.82206663376110567</v>
      </c>
      <c r="F3" s="15">
        <f>p_atm_si/bar_to_Pa</f>
        <v>1.0129999999999999</v>
      </c>
    </row>
    <row r="4" spans="1:6" x14ac:dyDescent="0.3">
      <c r="A4" t="s">
        <v>24</v>
      </c>
      <c r="B4" s="16">
        <f>V_flux_1_si/m_flux</f>
        <v>0.82206663376110567</v>
      </c>
      <c r="C4" t="s">
        <v>26</v>
      </c>
      <c r="E4" s="3">
        <f>E3+($E$103-$E$3)/100</f>
        <v>0.8154546323436398</v>
      </c>
      <c r="F4" s="15">
        <f>p_atm_si*(v_spec_1/E4)^K/bar_to_Pa</f>
        <v>1.0245479414925975</v>
      </c>
    </row>
    <row r="5" spans="1:6" x14ac:dyDescent="0.3">
      <c r="A5" t="s">
        <v>25</v>
      </c>
      <c r="B5" s="16">
        <f>V_flux_2/m_flux</f>
        <v>0.16086649201451722</v>
      </c>
      <c r="C5" t="s">
        <v>26</v>
      </c>
      <c r="E5" s="3">
        <f t="shared" ref="E5:E68" si="0">E4+($E$103-$E$3)/100</f>
        <v>0.80884263092617392</v>
      </c>
      <c r="F5" s="15">
        <f>p_atm_si*(v_spec_1/E5)^K/bar_to_Pa</f>
        <v>1.0363231597846045</v>
      </c>
    </row>
    <row r="6" spans="1:6" x14ac:dyDescent="0.3">
      <c r="A6" t="s">
        <v>12</v>
      </c>
      <c r="B6" s="14">
        <f>((p_2_si/p_atm_si)^(K-1)*T_1_si^K)^(1/K)</f>
        <v>556.63146025784511</v>
      </c>
      <c r="C6" s="2" t="s">
        <v>17</v>
      </c>
      <c r="E6" s="3">
        <f t="shared" si="0"/>
        <v>0.80223062950870805</v>
      </c>
      <c r="F6" s="15">
        <f>p_atm_si*(v_spec_1/E6)^K/bar_to_Pa</f>
        <v>1.0483320411857824</v>
      </c>
    </row>
    <row r="7" spans="1:6" x14ac:dyDescent="0.3">
      <c r="A7" t="s">
        <v>22</v>
      </c>
      <c r="B7" s="17">
        <f>-1/(K-1)*(p_2_si*v_spec_2-p_atm_si*v_spec_1)*to_kilo</f>
        <v>-192.23272554461707</v>
      </c>
      <c r="C7" t="s">
        <v>21</v>
      </c>
      <c r="E7" s="3">
        <f t="shared" si="0"/>
        <v>0.79561862809124217</v>
      </c>
      <c r="F7" s="15">
        <f>p_atm_si*(v_spec_1/E7)^K/bar_to_Pa</f>
        <v>1.0605812061118984</v>
      </c>
    </row>
    <row r="8" spans="1:6" x14ac:dyDescent="0.3">
      <c r="A8" t="s">
        <v>58</v>
      </c>
      <c r="B8" s="48">
        <f>m_flux/(rho_1*A_1)</f>
        <v>1.6666666666666667</v>
      </c>
      <c r="C8" t="s">
        <v>59</v>
      </c>
      <c r="E8" s="3">
        <f t="shared" si="0"/>
        <v>0.7890066266737763</v>
      </c>
      <c r="F8" s="15">
        <f>p_atm_si*(v_spec_1/E8)^K/bar_to_Pa</f>
        <v>1.0730775197036209</v>
      </c>
    </row>
    <row r="9" spans="1:6" x14ac:dyDescent="0.3">
      <c r="A9" t="s">
        <v>57</v>
      </c>
      <c r="B9" s="48">
        <f>m_flux/(rho_2*A_2)</f>
        <v>0.65228488546613117</v>
      </c>
      <c r="C9" t="s">
        <v>59</v>
      </c>
      <c r="E9" s="3">
        <f t="shared" si="0"/>
        <v>0.78239462525631043</v>
      </c>
      <c r="F9" s="15">
        <f>p_atm_si*(v_spec_1/E9)^K/bar_to_Pa</f>
        <v>1.0858281030210442</v>
      </c>
    </row>
    <row r="10" spans="1:6" x14ac:dyDescent="0.3">
      <c r="E10" s="3">
        <f t="shared" si="0"/>
        <v>0.77578262383884455</v>
      </c>
      <c r="F10" s="15">
        <f>p_atm_si*(v_spec_1/E10)^K/bar_to_Pa</f>
        <v>1.0988403448502346</v>
      </c>
    </row>
    <row r="11" spans="1:6" x14ac:dyDescent="0.3">
      <c r="A11" s="1" t="s">
        <v>28</v>
      </c>
      <c r="E11" s="3">
        <f t="shared" si="0"/>
        <v>0.76917062242137868</v>
      </c>
      <c r="F11" s="15">
        <f>p_atm_si*(v_spec_1/E11)^K/bar_to_Pa</f>
        <v>1.1121219141608136</v>
      </c>
    </row>
    <row r="12" spans="1:6" x14ac:dyDescent="0.3">
      <c r="A12" s="29"/>
      <c r="B12" s="30"/>
      <c r="C12" s="23"/>
      <c r="E12" s="3">
        <f t="shared" si="0"/>
        <v>0.76255862100391281</v>
      </c>
      <c r="F12" s="15">
        <f>p_atm_si*(v_spec_1/E12)^K/bar_to_Pa</f>
        <v>1.1256807732564418</v>
      </c>
    </row>
    <row r="13" spans="1:6" x14ac:dyDescent="0.3">
      <c r="A13" s="31"/>
      <c r="B13" s="49"/>
      <c r="C13" s="25"/>
      <c r="E13" s="3">
        <f t="shared" si="0"/>
        <v>0.75594661958644693</v>
      </c>
      <c r="F13" s="15">
        <f>p_atm_si*(v_spec_1/E13)^K/bar_to_Pa</f>
        <v>1.1395251916631595</v>
      </c>
    </row>
    <row r="14" spans="1:6" x14ac:dyDescent="0.3">
      <c r="A14" s="31"/>
      <c r="B14" s="32"/>
      <c r="C14" s="25"/>
      <c r="E14" s="3">
        <f t="shared" si="0"/>
        <v>0.74933461816898106</v>
      </c>
      <c r="F14" s="15">
        <f>p_atm_si*(v_spec_1/E14)^K/bar_to_Pa</f>
        <v>1.15366376080386</v>
      </c>
    </row>
    <row r="15" spans="1:6" x14ac:dyDescent="0.3">
      <c r="A15" s="31"/>
      <c r="B15" s="33"/>
      <c r="C15" s="25"/>
      <c r="E15" s="3">
        <f t="shared" si="0"/>
        <v>0.74272261675151519</v>
      </c>
      <c r="F15" s="15">
        <f>p_atm_si*(v_spec_1/E15)^K/bar_to_Pa</f>
        <v>1.1681054095108154</v>
      </c>
    </row>
    <row r="16" spans="1:6" x14ac:dyDescent="0.3">
      <c r="A16" s="31"/>
      <c r="B16" s="33"/>
      <c r="C16" s="25"/>
      <c r="E16" s="3">
        <f t="shared" si="0"/>
        <v>0.73611061533404931</v>
      </c>
      <c r="F16" s="15">
        <f>p_atm_si*(v_spec_1/E16)^K/bar_to_Pa</f>
        <v>1.1828594204320761</v>
      </c>
    </row>
    <row r="17" spans="1:6" x14ac:dyDescent="0.3">
      <c r="A17" s="31"/>
      <c r="B17" s="34"/>
      <c r="C17" s="25"/>
      <c r="E17" s="3">
        <f t="shared" si="0"/>
        <v>0.72949861391658344</v>
      </c>
      <c r="F17" s="15">
        <f>p_atm_si*(v_spec_1/E17)^K/bar_to_Pa</f>
        <v>1.197935447391842</v>
      </c>
    </row>
    <row r="18" spans="1:6" x14ac:dyDescent="0.3">
      <c r="A18" s="31"/>
      <c r="B18" s="33"/>
      <c r="C18" s="25"/>
      <c r="E18" s="3">
        <f t="shared" si="0"/>
        <v>0.72288661249911756</v>
      </c>
      <c r="F18" s="15">
        <f>p_atm_si*(v_spec_1/E18)^K/bar_to_Pa</f>
        <v>1.2133435337695182</v>
      </c>
    </row>
    <row r="19" spans="1:6" x14ac:dyDescent="0.3">
      <c r="A19" s="31"/>
      <c r="B19" s="20"/>
      <c r="C19" s="25"/>
      <c r="E19" s="3">
        <f t="shared" si="0"/>
        <v>0.71627461108165169</v>
      </c>
      <c r="F19" s="15">
        <f>p_atm_si*(v_spec_1/E19)^K/bar_to_Pa</f>
        <v>1.2290941319672191</v>
      </c>
    </row>
    <row r="20" spans="1:6" x14ac:dyDescent="0.3">
      <c r="A20" s="31"/>
      <c r="B20" s="33"/>
      <c r="C20" s="25"/>
      <c r="E20" s="3">
        <f t="shared" si="0"/>
        <v>0.70966260966418582</v>
      </c>
      <c r="F20" s="15">
        <f>p_atm_si*(v_spec_1/E20)^K/bar_to_Pa</f>
        <v>1.2451981240409187</v>
      </c>
    </row>
    <row r="21" spans="1:6" x14ac:dyDescent="0.3">
      <c r="A21" s="35"/>
      <c r="B21" s="32"/>
      <c r="C21" s="25"/>
      <c r="E21" s="3">
        <f t="shared" si="0"/>
        <v>0.70305060824671994</v>
      </c>
      <c r="F21" s="15">
        <f>p_atm_si*(v_spec_1/E21)^K/bar_to_Pa</f>
        <v>1.2616668435764473</v>
      </c>
    </row>
    <row r="22" spans="1:6" x14ac:dyDescent="0.3">
      <c r="A22" s="35"/>
      <c r="B22" s="32"/>
      <c r="C22" s="25"/>
      <c r="E22" s="3">
        <f t="shared" si="0"/>
        <v>0.69643860682925407</v>
      </c>
      <c r="F22" s="15">
        <f>p_atm_si*(v_spec_1/E22)^K/bar_to_Pa</f>
        <v>1.2785120988979821</v>
      </c>
    </row>
    <row r="23" spans="1:6" x14ac:dyDescent="0.3">
      <c r="A23" s="31"/>
      <c r="B23" s="33"/>
      <c r="C23" s="25"/>
      <c r="E23" s="3">
        <f t="shared" si="0"/>
        <v>0.6898266054117882</v>
      </c>
      <c r="F23" s="15">
        <f>p_atm_si*(v_spec_1/E23)^K/bar_to_Pa</f>
        <v>1.2957461977037841</v>
      </c>
    </row>
    <row r="24" spans="1:6" x14ac:dyDescent="0.3">
      <c r="A24" s="24"/>
      <c r="B24" s="20"/>
      <c r="C24" s="25"/>
      <c r="E24" s="3">
        <f t="shared" si="0"/>
        <v>0.68321460399432232</v>
      </c>
      <c r="F24" s="15">
        <f>p_atm_si*(v_spec_1/E24)^K/bar_to_Pa</f>
        <v>1.3133819732316336</v>
      </c>
    </row>
    <row r="25" spans="1:6" x14ac:dyDescent="0.3">
      <c r="A25" s="24"/>
      <c r="B25" s="20"/>
      <c r="C25" s="25"/>
      <c r="E25" s="3">
        <f t="shared" si="0"/>
        <v>0.67660260257685645</v>
      </c>
      <c r="F25" s="15">
        <f>p_atm_si*(v_spec_1/E25)^K/bar_to_Pa</f>
        <v>1.3314328120648622</v>
      </c>
    </row>
    <row r="26" spans="1:6" x14ac:dyDescent="0.3">
      <c r="A26" s="24"/>
      <c r="B26" s="20"/>
      <c r="C26" s="25"/>
      <c r="E26" s="3">
        <f t="shared" si="0"/>
        <v>0.66999060115939058</v>
      </c>
      <c r="F26" s="15">
        <f>p_atm_si*(v_spec_1/E26)^K/bar_to_Pa</f>
        <v>1.3499126836990798</v>
      </c>
    </row>
    <row r="27" spans="1:6" x14ac:dyDescent="0.3">
      <c r="A27" s="24"/>
      <c r="B27" s="20"/>
      <c r="C27" s="25"/>
      <c r="E27" s="3">
        <f t="shared" si="0"/>
        <v>0.6633785997419247</v>
      </c>
      <c r="F27" s="15">
        <f>p_atm_si*(v_spec_1/E27)^K/bar_to_Pa</f>
        <v>1.3688361719997908</v>
      </c>
    </row>
    <row r="28" spans="1:6" x14ac:dyDescent="0.3">
      <c r="A28" s="24"/>
      <c r="B28" s="20"/>
      <c r="C28" s="25"/>
      <c r="E28" s="3">
        <f t="shared" si="0"/>
        <v>0.65676659832445883</v>
      </c>
      <c r="F28" s="15">
        <f>p_atm_si*(v_spec_1/E28)^K/bar_to_Pa</f>
        <v>1.3882185086921142</v>
      </c>
    </row>
    <row r="29" spans="1:6" x14ac:dyDescent="0.3">
      <c r="A29" s="24"/>
      <c r="B29" s="20"/>
      <c r="C29" s="25"/>
      <c r="E29" s="3">
        <f t="shared" si="0"/>
        <v>0.65015459690699295</v>
      </c>
      <c r="F29" s="15">
        <f>p_atm_si*(v_spec_1/E29)^K/bar_to_Pa</f>
        <v>1.4080756090359281</v>
      </c>
    </row>
    <row r="30" spans="1:6" x14ac:dyDescent="0.3">
      <c r="A30" s="24"/>
      <c r="B30" s="20"/>
      <c r="C30" s="25"/>
      <c r="E30" s="3">
        <f t="shared" si="0"/>
        <v>0.64354259548952708</v>
      </c>
      <c r="F30" s="15">
        <f>p_atm_si*(v_spec_1/E30)^K/bar_to_Pa</f>
        <v>1.4284241098530186</v>
      </c>
    </row>
    <row r="31" spans="1:6" x14ac:dyDescent="0.3">
      <c r="A31" s="24"/>
      <c r="B31" s="20"/>
      <c r="C31" s="25"/>
      <c r="E31" s="3">
        <f t="shared" si="0"/>
        <v>0.63693059407206121</v>
      </c>
      <c r="F31" s="15">
        <f>p_atm_si*(v_spec_1/E31)^K/bar_to_Pa</f>
        <v>1.4492814100873752</v>
      </c>
    </row>
    <row r="32" spans="1:6" x14ac:dyDescent="0.3">
      <c r="A32" s="24"/>
      <c r="B32" s="20"/>
      <c r="C32" s="25"/>
      <c r="E32" s="3">
        <f t="shared" si="0"/>
        <v>0.63031859265459533</v>
      </c>
      <c r="F32" s="15">
        <f>p_atm_si*(v_spec_1/E32)^K/bar_to_Pa</f>
        <v>1.4706657140957791</v>
      </c>
    </row>
    <row r="33" spans="1:6" x14ac:dyDescent="0.3">
      <c r="A33" s="24"/>
      <c r="B33" s="20"/>
      <c r="C33" s="25"/>
      <c r="E33" s="3">
        <f t="shared" si="0"/>
        <v>0.62370659123712946</v>
      </c>
      <c r="F33" s="15">
        <f>p_atm_si*(v_spec_1/E33)^K/bar_to_Pa</f>
        <v>1.4925960778834249</v>
      </c>
    </row>
    <row r="34" spans="1:6" x14ac:dyDescent="0.3">
      <c r="A34" s="24"/>
      <c r="B34" s="20"/>
      <c r="C34" s="25"/>
      <c r="E34" s="3">
        <f t="shared" si="0"/>
        <v>0.61709458981966359</v>
      </c>
      <c r="F34" s="15">
        <f>p_atm_si*(v_spec_1/E34)^K/bar_to_Pa</f>
        <v>1.5150924585187069</v>
      </c>
    </row>
    <row r="35" spans="1:6" x14ac:dyDescent="0.3">
      <c r="A35" s="24"/>
      <c r="B35" s="20"/>
      <c r="C35" s="25"/>
      <c r="E35" s="3">
        <f t="shared" si="0"/>
        <v>0.61048258840219771</v>
      </c>
      <c r="F35" s="15">
        <f>p_atm_si*(v_spec_1/E35)^K/bar_to_Pa</f>
        <v>1.5381757669826415</v>
      </c>
    </row>
    <row r="36" spans="1:6" x14ac:dyDescent="0.3">
      <c r="A36" s="24"/>
      <c r="B36" s="20"/>
      <c r="C36" s="25"/>
      <c r="E36" s="3">
        <f t="shared" si="0"/>
        <v>0.60387058698473184</v>
      </c>
      <c r="F36" s="15">
        <f>p_atm_si*(v_spec_1/E36)^K/bar_to_Pa</f>
        <v>1.5618679247319578</v>
      </c>
    </row>
    <row r="37" spans="1:6" x14ac:dyDescent="0.3">
      <c r="A37" s="24"/>
      <c r="B37" s="20"/>
      <c r="C37" s="25"/>
      <c r="E37" s="3">
        <f t="shared" si="0"/>
        <v>0.59725858556726596</v>
      </c>
      <c r="F37" s="15">
        <f>p_atm_si*(v_spec_1/E37)^K/bar_to_Pa</f>
        <v>1.5861919242809248</v>
      </c>
    </row>
    <row r="38" spans="1:6" x14ac:dyDescent="0.3">
      <c r="A38" s="24"/>
      <c r="B38" s="20"/>
      <c r="C38" s="25"/>
      <c r="E38" s="3">
        <f t="shared" si="0"/>
        <v>0.59064658414980009</v>
      </c>
      <c r="F38" s="15">
        <f>p_atm_si*(v_spec_1/E38)^K/bar_to_Pa</f>
        <v>1.6111718941357138</v>
      </c>
    </row>
    <row r="39" spans="1:6" x14ac:dyDescent="0.3">
      <c r="A39" s="24"/>
      <c r="B39" s="20"/>
      <c r="C39" s="25"/>
      <c r="E39" s="3">
        <f t="shared" si="0"/>
        <v>0.58403458273233422</v>
      </c>
      <c r="F39" s="15">
        <f>p_atm_si*(v_spec_1/E39)^K/bar_to_Pa</f>
        <v>1.636833168446953</v>
      </c>
    </row>
    <row r="40" spans="1:6" x14ac:dyDescent="0.3">
      <c r="A40" s="24"/>
      <c r="B40" s="20"/>
      <c r="C40" s="25"/>
      <c r="E40" s="3">
        <f t="shared" si="0"/>
        <v>0.57742258131486834</v>
      </c>
      <c r="F40" s="15">
        <f>p_atm_si*(v_spec_1/E40)^K/bar_to_Pa</f>
        <v>1.6632023617813811</v>
      </c>
    </row>
    <row r="41" spans="1:6" x14ac:dyDescent="0.3">
      <c r="A41" s="24"/>
      <c r="B41" s="20"/>
      <c r="C41" s="25"/>
      <c r="E41" s="3">
        <f t="shared" si="0"/>
        <v>0.57081057989740247</v>
      </c>
      <c r="F41" s="15">
        <f>p_atm_si*(v_spec_1/E41)^K/bar_to_Pa</f>
        <v>1.6903074494526265</v>
      </c>
    </row>
    <row r="42" spans="1:6" x14ac:dyDescent="0.3">
      <c r="A42" s="24"/>
      <c r="B42" s="20"/>
      <c r="C42" s="25"/>
      <c r="E42" s="3">
        <f t="shared" si="0"/>
        <v>0.5641985784799366</v>
      </c>
      <c r="F42" s="15">
        <f>p_atm_si*(v_spec_1/E42)^K/bar_to_Pa</f>
        <v>1.7181778538945796</v>
      </c>
    </row>
    <row r="43" spans="1:6" x14ac:dyDescent="0.3">
      <c r="A43" s="24"/>
      <c r="B43" s="20"/>
      <c r="C43" s="25"/>
      <c r="E43" s="3">
        <f t="shared" si="0"/>
        <v>0.55758657706247072</v>
      </c>
      <c r="F43" s="15">
        <f>p_atm_si*(v_spec_1/E43)^K/bar_to_Pa</f>
        <v>1.7468445376091133</v>
      </c>
    </row>
    <row r="44" spans="1:6" x14ac:dyDescent="0.3">
      <c r="A44" s="24"/>
      <c r="B44" s="20"/>
      <c r="C44" s="25"/>
      <c r="E44" s="3">
        <f t="shared" si="0"/>
        <v>0.55097457564500485</v>
      </c>
      <c r="F44" s="15">
        <f>p_atm_si*(v_spec_1/E44)^K/bar_to_Pa</f>
        <v>1.7763401032736623</v>
      </c>
    </row>
    <row r="45" spans="1:6" x14ac:dyDescent="0.3">
      <c r="A45" s="24"/>
      <c r="B45" s="20"/>
      <c r="C45" s="25"/>
      <c r="E45" s="3">
        <f t="shared" si="0"/>
        <v>0.54436257422753898</v>
      </c>
      <c r="F45" s="15">
        <f>p_atm_si*(v_spec_1/E45)^K/bar_to_Pa</f>
        <v>1.8066989016540802</v>
      </c>
    </row>
    <row r="46" spans="1:6" x14ac:dyDescent="0.3">
      <c r="A46" s="24"/>
      <c r="B46" s="20"/>
      <c r="C46" s="25"/>
      <c r="E46" s="3">
        <f t="shared" si="0"/>
        <v>0.5377505728100731</v>
      </c>
      <c r="F46" s="15">
        <f>p_atm_si*(v_spec_1/E46)^K/bar_to_Pa</f>
        <v>1.837957148035047</v>
      </c>
    </row>
    <row r="47" spans="1:6" x14ac:dyDescent="0.3">
      <c r="A47" s="24"/>
      <c r="B47" s="20"/>
      <c r="C47" s="25"/>
      <c r="E47" s="3">
        <f t="shared" si="0"/>
        <v>0.53113857139260723</v>
      </c>
      <c r="F47" s="15">
        <f>p_atm_si*(v_spec_1/E47)^K/bar_to_Pa</f>
        <v>1.8701530479550035</v>
      </c>
    </row>
    <row r="48" spans="1:6" x14ac:dyDescent="0.3">
      <c r="A48" s="24"/>
      <c r="B48" s="20"/>
      <c r="C48" s="25"/>
      <c r="E48" s="3">
        <f t="shared" si="0"/>
        <v>0.52452656997514135</v>
      </c>
      <c r="F48" s="15">
        <f>p_atm_si*(v_spec_1/E48)^K/bar_to_Pa</f>
        <v>1.903326933116152</v>
      </c>
    </row>
    <row r="49" spans="1:6" x14ac:dyDescent="0.3">
      <c r="A49" s="24"/>
      <c r="B49" s="20"/>
      <c r="C49" s="25"/>
      <c r="E49" s="3">
        <f t="shared" si="0"/>
        <v>0.51791456855767548</v>
      </c>
      <c r="F49" s="15">
        <f>p_atm_si*(v_spec_1/E49)^K/bar_to_Pa</f>
        <v>1.9375214084337042</v>
      </c>
    </row>
    <row r="50" spans="1:6" x14ac:dyDescent="0.3">
      <c r="A50" s="24"/>
      <c r="B50" s="20"/>
      <c r="C50" s="25"/>
      <c r="E50" s="3">
        <f t="shared" si="0"/>
        <v>0.51130256714020961</v>
      </c>
      <c r="F50" s="15">
        <f>p_atm_si*(v_spec_1/E50)^K/bar_to_Pa</f>
        <v>1.9727815112936136</v>
      </c>
    </row>
    <row r="51" spans="1:6" x14ac:dyDescent="0.3">
      <c r="A51" s="24"/>
      <c r="B51" s="20"/>
      <c r="C51" s="25"/>
      <c r="E51" s="3">
        <f t="shared" si="0"/>
        <v>0.50469056572274373</v>
      </c>
      <c r="F51" s="15">
        <f>p_atm_si*(v_spec_1/E51)^K/bar_to_Pa</f>
        <v>2.0091548842060343</v>
      </c>
    </row>
    <row r="52" spans="1:6" x14ac:dyDescent="0.3">
      <c r="A52" s="26"/>
      <c r="B52" s="27"/>
      <c r="C52" s="28"/>
      <c r="E52" s="3">
        <f t="shared" si="0"/>
        <v>0.49807856430527786</v>
      </c>
      <c r="F52" s="15">
        <f>p_atm_si*(v_spec_1/E52)^K/bar_to_Pa</f>
        <v>2.0466919621745654</v>
      </c>
    </row>
    <row r="53" spans="1:6" x14ac:dyDescent="0.3">
      <c r="E53" s="3">
        <f t="shared" si="0"/>
        <v>0.49146656288781199</v>
      </c>
      <c r="F53" s="15">
        <f>p_atm_si*(v_spec_1/E53)^K/bar_to_Pa</f>
        <v>2.0854461762509757</v>
      </c>
    </row>
    <row r="54" spans="1:6" x14ac:dyDescent="0.3">
      <c r="E54" s="3">
        <f t="shared" si="0"/>
        <v>0.48485456147034611</v>
      </c>
      <c r="F54" s="15">
        <f>p_atm_si*(v_spec_1/E54)^K/bar_to_Pa</f>
        <v>2.1254741749139741</v>
      </c>
    </row>
    <row r="55" spans="1:6" x14ac:dyDescent="0.3">
      <c r="E55" s="3">
        <f t="shared" si="0"/>
        <v>0.47824256005288024</v>
      </c>
      <c r="F55" s="15">
        <f>p_atm_si*(v_spec_1/E55)^K/bar_to_Pa</f>
        <v>2.1668360651015175</v>
      </c>
    </row>
    <row r="56" spans="1:6" x14ac:dyDescent="0.3">
      <c r="E56" s="3">
        <f t="shared" si="0"/>
        <v>0.47163055863541437</v>
      </c>
      <c r="F56" s="15">
        <f>p_atm_si*(v_spec_1/E56)^K/bar_to_Pa</f>
        <v>2.2095956749422569</v>
      </c>
    </row>
    <row r="57" spans="1:6" x14ac:dyDescent="0.3">
      <c r="E57" s="3">
        <f t="shared" si="0"/>
        <v>0.46501855721794849</v>
      </c>
      <c r="F57" s="15">
        <f>p_atm_si*(v_spec_1/E57)^K/bar_to_Pa</f>
        <v>2.2538208404768674</v>
      </c>
    </row>
    <row r="58" spans="1:6" x14ac:dyDescent="0.3">
      <c r="E58" s="3">
        <f t="shared" si="0"/>
        <v>0.45840655580048262</v>
      </c>
      <c r="F58" s="15">
        <f>p_atm_si*(v_spec_1/E58)^K/bar_to_Pa</f>
        <v>2.2995837189384418</v>
      </c>
    </row>
    <row r="59" spans="1:6" x14ac:dyDescent="0.3">
      <c r="E59" s="3">
        <f t="shared" si="0"/>
        <v>0.45179455438301674</v>
      </c>
      <c r="F59" s="15">
        <f>p_atm_si*(v_spec_1/E59)^K/bar_to_Pa</f>
        <v>2.3469611314780399</v>
      </c>
    </row>
    <row r="60" spans="1:6" x14ac:dyDescent="0.3">
      <c r="E60" s="3">
        <f t="shared" si="0"/>
        <v>0.44518255296555087</v>
      </c>
      <c r="F60" s="15">
        <f>p_atm_si*(v_spec_1/E60)^K/bar_to_Pa</f>
        <v>2.3960349385827602</v>
      </c>
    </row>
    <row r="61" spans="1:6" x14ac:dyDescent="0.3">
      <c r="E61" s="3">
        <f t="shared" si="0"/>
        <v>0.438570551548085</v>
      </c>
      <c r="F61" s="15">
        <f>p_atm_si*(v_spec_1/E61)^K/bar_to_Pa</f>
        <v>2.4468924518463497</v>
      </c>
    </row>
    <row r="62" spans="1:6" x14ac:dyDescent="0.3">
      <c r="E62" s="3">
        <f t="shared" si="0"/>
        <v>0.43195855013061912</v>
      </c>
      <c r="F62" s="15">
        <f>p_atm_si*(v_spec_1/E62)^K/bar_to_Pa</f>
        <v>2.4996268862246045</v>
      </c>
    </row>
    <row r="63" spans="1:6" x14ac:dyDescent="0.3">
      <c r="E63" s="3">
        <f t="shared" si="0"/>
        <v>0.42534654871315325</v>
      </c>
      <c r="F63" s="15">
        <f>p_atm_si*(v_spec_1/E63)^K/bar_to_Pa</f>
        <v>2.5543378574492923</v>
      </c>
    </row>
    <row r="64" spans="1:6" x14ac:dyDescent="0.3">
      <c r="E64" s="3">
        <f t="shared" si="0"/>
        <v>0.41873454729568738</v>
      </c>
      <c r="F64" s="15">
        <f>p_atm_si*(v_spec_1/E64)^K/bar_to_Pa</f>
        <v>2.6111319298964317</v>
      </c>
    </row>
    <row r="65" spans="5:6" x14ac:dyDescent="0.3">
      <c r="E65" s="3">
        <f t="shared" si="0"/>
        <v>0.4121225458782215</v>
      </c>
      <c r="F65" s="15">
        <f>p_atm_si*(v_spec_1/E65)^K/bar_to_Pa</f>
        <v>2.6701232209210768</v>
      </c>
    </row>
    <row r="66" spans="5:6" x14ac:dyDescent="0.3">
      <c r="E66" s="3">
        <f t="shared" si="0"/>
        <v>0.40551054446075563</v>
      </c>
      <c r="F66" s="15">
        <f>p_atm_si*(v_spec_1/E66)^K/bar_to_Pa</f>
        <v>2.7314340684971916</v>
      </c>
    </row>
    <row r="67" spans="5:6" x14ac:dyDescent="0.3">
      <c r="E67" s="3">
        <f t="shared" si="0"/>
        <v>0.39889854304328975</v>
      </c>
      <c r="F67" s="15">
        <f>p_atm_si*(v_spec_1/E67)^K/bar_to_Pa</f>
        <v>2.795195769956921</v>
      </c>
    </row>
    <row r="68" spans="5:6" x14ac:dyDescent="0.3">
      <c r="E68" s="3">
        <f t="shared" si="0"/>
        <v>0.39228654162582388</v>
      </c>
      <c r="F68" s="15">
        <f>p_atm_si*(v_spec_1/E68)^K/bar_to_Pa</f>
        <v>2.8615494007312359</v>
      </c>
    </row>
    <row r="69" spans="5:6" x14ac:dyDescent="0.3">
      <c r="E69" s="3">
        <f t="shared" ref="E69:E102" si="1">E68+($E$103-$E$3)/100</f>
        <v>0.38567454020835801</v>
      </c>
      <c r="F69" s="15">
        <f>p_atm_si*(v_spec_1/E69)^K/bar_to_Pa</f>
        <v>2.930646723280828</v>
      </c>
    </row>
    <row r="70" spans="5:6" x14ac:dyDescent="0.3">
      <c r="E70" s="3">
        <f t="shared" si="1"/>
        <v>0.37906253879089213</v>
      </c>
      <c r="F70" s="15">
        <f>p_atm_si*(v_spec_1/E70)^K/bar_to_Pa</f>
        <v>3.0026511979047372</v>
      </c>
    </row>
    <row r="71" spans="5:6" x14ac:dyDescent="0.3">
      <c r="E71" s="3">
        <f t="shared" si="1"/>
        <v>0.37245053737342626</v>
      </c>
      <c r="F71" s="15">
        <f>p_atm_si*(v_spec_1/E71)^K/bar_to_Pa</f>
        <v>3.0777391088640238</v>
      </c>
    </row>
    <row r="72" spans="5:6" x14ac:dyDescent="0.3">
      <c r="E72" s="3">
        <f t="shared" si="1"/>
        <v>0.36583853595596039</v>
      </c>
      <c r="F72" s="15">
        <f>p_atm_si*(v_spec_1/E72)^K/bar_to_Pa</f>
        <v>3.1561008213058601</v>
      </c>
    </row>
    <row r="73" spans="5:6" x14ac:dyDescent="0.3">
      <c r="E73" s="3">
        <f t="shared" si="1"/>
        <v>0.35922653453849451</v>
      </c>
      <c r="F73" s="15">
        <f>p_atm_si*(v_spec_1/E73)^K/bar_to_Pa</f>
        <v>3.2379421868774836</v>
      </c>
    </row>
    <row r="74" spans="5:6" x14ac:dyDescent="0.3">
      <c r="E74" s="3">
        <f t="shared" si="1"/>
        <v>0.35261453312102864</v>
      </c>
      <c r="F74" s="15">
        <f>p_atm_si*(v_spec_1/E74)^K/bar_to_Pa</f>
        <v>3.3234861187487641</v>
      </c>
    </row>
    <row r="75" spans="5:6" x14ac:dyDescent="0.3">
      <c r="E75" s="3">
        <f t="shared" si="1"/>
        <v>0.34600253170356277</v>
      </c>
      <c r="F75" s="15">
        <f>p_atm_si*(v_spec_1/E75)^K/bar_to_Pa</f>
        <v>3.4129743601020093</v>
      </c>
    </row>
    <row r="76" spans="5:6" x14ac:dyDescent="0.3">
      <c r="E76" s="3">
        <f t="shared" si="1"/>
        <v>0.33939053028609689</v>
      </c>
      <c r="F76" s="15">
        <f>p_atm_si*(v_spec_1/E76)^K/bar_to_Pa</f>
        <v>3.5066694741015159</v>
      </c>
    </row>
    <row r="77" spans="5:6" x14ac:dyDescent="0.3">
      <c r="E77" s="3">
        <f t="shared" si="1"/>
        <v>0.33277852886863102</v>
      </c>
      <c r="F77" s="15">
        <f>p_atm_si*(v_spec_1/E77)^K/bar_to_Pa</f>
        <v>3.6048570880510211</v>
      </c>
    </row>
    <row r="78" spans="5:6" x14ac:dyDescent="0.3">
      <c r="E78" s="3">
        <f t="shared" si="1"/>
        <v>0.32616652745116514</v>
      </c>
      <c r="F78" s="15">
        <f>p_atm_si*(v_spec_1/E78)^K/bar_to_Pa</f>
        <v>3.7078484300414636</v>
      </c>
    </row>
    <row r="79" spans="5:6" x14ac:dyDescent="0.3">
      <c r="E79" s="3">
        <f t="shared" si="1"/>
        <v>0.31955452603369927</v>
      </c>
      <c r="F79" s="15">
        <f>p_atm_si*(v_spec_1/E79)^K/bar_to_Pa</f>
        <v>3.8159832030787109</v>
      </c>
    </row>
    <row r="80" spans="5:6" x14ac:dyDescent="0.3">
      <c r="E80" s="3">
        <f t="shared" si="1"/>
        <v>0.3129425246162334</v>
      </c>
      <c r="F80" s="15">
        <f>p_atm_si*(v_spec_1/E80)^K/bar_to_Pa</f>
        <v>3.9296328497021338</v>
      </c>
    </row>
    <row r="81" spans="5:6" x14ac:dyDescent="0.3">
      <c r="E81" s="3">
        <f t="shared" si="1"/>
        <v>0.30633052319876752</v>
      </c>
      <c r="F81" s="15">
        <f>p_atm_si*(v_spec_1/E81)^K/bar_to_Pa</f>
        <v>4.0492042697613932</v>
      </c>
    </row>
    <row r="82" spans="5:6" x14ac:dyDescent="0.3">
      <c r="E82" s="3">
        <f t="shared" si="1"/>
        <v>0.29971852178130165</v>
      </c>
      <c r="F82" s="15">
        <f>p_atm_si*(v_spec_1/E82)^K/bar_to_Pa</f>
        <v>4.1751440656868155</v>
      </c>
    </row>
    <row r="83" spans="5:6" x14ac:dyDescent="0.3">
      <c r="E83" s="3">
        <f t="shared" si="1"/>
        <v>0.29310652036383578</v>
      </c>
      <c r="F83" s="15">
        <f>p_atm_si*(v_spec_1/E83)^K/bar_to_Pa</f>
        <v>4.3079434037431552</v>
      </c>
    </row>
    <row r="84" spans="5:6" x14ac:dyDescent="0.3">
      <c r="E84" s="3">
        <f t="shared" si="1"/>
        <v>0.2864945189463699</v>
      </c>
      <c r="F84" s="15">
        <f>p_atm_si*(v_spec_1/E84)^K/bar_to_Pa</f>
        <v>4.4481435969964167</v>
      </c>
    </row>
    <row r="85" spans="5:6" x14ac:dyDescent="0.3">
      <c r="E85" s="3">
        <f t="shared" si="1"/>
        <v>0.27988251752890403</v>
      </c>
      <c r="F85" s="15">
        <f>p_atm_si*(v_spec_1/E85)^K/bar_to_Pa</f>
        <v>4.5963425368110089</v>
      </c>
    </row>
    <row r="86" spans="5:6" x14ac:dyDescent="0.3">
      <c r="E86" s="3">
        <f t="shared" si="1"/>
        <v>0.27327051611143816</v>
      </c>
      <c r="F86" s="15">
        <f>p_atm_si*(v_spec_1/E86)^K/bar_to_Pa</f>
        <v>4.7532021256027184</v>
      </c>
    </row>
    <row r="87" spans="5:6" x14ac:dyDescent="0.3">
      <c r="E87" s="3">
        <f t="shared" si="1"/>
        <v>0.26665851469397228</v>
      </c>
      <c r="F87" s="15">
        <f>p_atm_si*(v_spec_1/E87)^K/bar_to_Pa</f>
        <v>4.9194568955514333</v>
      </c>
    </row>
    <row r="88" spans="5:6" x14ac:dyDescent="0.3">
      <c r="E88" s="3">
        <f t="shared" si="1"/>
        <v>0.26004651327650641</v>
      </c>
      <c r="F88" s="15">
        <f>p_atm_si*(v_spec_1/E88)^K/bar_to_Pa</f>
        <v>5.0959240376398309</v>
      </c>
    </row>
    <row r="89" spans="5:6" x14ac:dyDescent="0.3">
      <c r="E89" s="3">
        <f t="shared" si="1"/>
        <v>0.25343451185904053</v>
      </c>
      <c r="F89" s="15">
        <f>p_atm_si*(v_spec_1/E89)^K/bar_to_Pa</f>
        <v>5.2835151148266331</v>
      </c>
    </row>
    <row r="90" spans="5:6" x14ac:dyDescent="0.3">
      <c r="E90" s="3">
        <f t="shared" si="1"/>
        <v>0.24682251044157466</v>
      </c>
      <c r="F90" s="15">
        <f>p_atm_si*(v_spec_1/E90)^K/bar_to_Pa</f>
        <v>5.4832497951252233</v>
      </c>
    </row>
    <row r="91" spans="5:6" x14ac:dyDescent="0.3">
      <c r="E91" s="3">
        <f t="shared" si="1"/>
        <v>0.24021050902410879</v>
      </c>
      <c r="F91" s="15">
        <f>p_atm_si*(v_spec_1/E91)^K/bar_to_Pa</f>
        <v>5.6962720184447813</v>
      </c>
    </row>
    <row r="92" spans="5:6" x14ac:dyDescent="0.3">
      <c r="E92" s="3">
        <f t="shared" si="1"/>
        <v>0.23359850760664291</v>
      </c>
      <c r="F92" s="15">
        <f>p_atm_si*(v_spec_1/E92)^K/bar_to_Pa</f>
        <v>5.9238691100360148</v>
      </c>
    </row>
    <row r="93" spans="5:6" x14ac:dyDescent="0.3">
      <c r="E93" s="3">
        <f t="shared" si="1"/>
        <v>0.22698650618917704</v>
      </c>
      <c r="F93" s="15">
        <f>p_atm_si*(v_spec_1/E93)^K/bar_to_Pa</f>
        <v>6.1674944796356304</v>
      </c>
    </row>
    <row r="94" spans="5:6" x14ac:dyDescent="0.3">
      <c r="E94" s="3">
        <f t="shared" si="1"/>
        <v>0.22037450477171117</v>
      </c>
      <c r="F94" s="15">
        <f>p_atm_si*(v_spec_1/E94)^K/bar_to_Pa</f>
        <v>6.4287947074838483</v>
      </c>
    </row>
    <row r="95" spans="5:6" x14ac:dyDescent="0.3">
      <c r="E95" s="3">
        <f t="shared" si="1"/>
        <v>0.21376250335424529</v>
      </c>
      <c r="F95" s="15">
        <f>p_atm_si*(v_spec_1/E95)^K/bar_to_Pa</f>
        <v>6.7096420278954261</v>
      </c>
    </row>
    <row r="96" spans="5:6" x14ac:dyDescent="0.3">
      <c r="E96" s="3">
        <f t="shared" si="1"/>
        <v>0.20715050193677942</v>
      </c>
      <c r="F96" s="15">
        <f>p_atm_si*(v_spec_1/E96)^K/bar_to_Pa</f>
        <v>7.0121734938424671</v>
      </c>
    </row>
    <row r="97" spans="5:6" x14ac:dyDescent="0.3">
      <c r="E97" s="3">
        <f t="shared" si="1"/>
        <v>0.20053850051931355</v>
      </c>
      <c r="F97" s="15">
        <f>p_atm_si*(v_spec_1/E97)^K/bar_to_Pa</f>
        <v>7.338838463897762</v>
      </c>
    </row>
    <row r="98" spans="5:6" x14ac:dyDescent="0.3">
      <c r="E98" s="3">
        <f t="shared" si="1"/>
        <v>0.19392649910184767</v>
      </c>
      <c r="F98" s="15">
        <f>p_atm_si*(v_spec_1/E98)^K/bar_to_Pa</f>
        <v>7.6924565262785674</v>
      </c>
    </row>
    <row r="99" spans="5:6" x14ac:dyDescent="0.3">
      <c r="E99" s="3">
        <f t="shared" si="1"/>
        <v>0.1873144976843818</v>
      </c>
      <c r="F99" s="15">
        <f>p_atm_si*(v_spec_1/E99)^K/bar_to_Pa</f>
        <v>8.0762886063258197</v>
      </c>
    </row>
    <row r="100" spans="5:6" x14ac:dyDescent="0.3">
      <c r="E100" s="3">
        <f t="shared" si="1"/>
        <v>0.18070249626691592</v>
      </c>
      <c r="F100" s="15">
        <f>p_atm_si*(v_spec_1/E100)^K/bar_to_Pa</f>
        <v>8.4941248541978922</v>
      </c>
    </row>
    <row r="101" spans="5:6" x14ac:dyDescent="0.3">
      <c r="E101" s="3">
        <f t="shared" si="1"/>
        <v>0.17409049484945005</v>
      </c>
      <c r="F101" s="15">
        <f>p_atm_si*(v_spec_1/E101)^K/bar_to_Pa</f>
        <v>8.9503940659527288</v>
      </c>
    </row>
    <row r="102" spans="5:6" x14ac:dyDescent="0.3">
      <c r="E102" s="3">
        <f t="shared" si="1"/>
        <v>0.16747849343198418</v>
      </c>
      <c r="F102" s="15">
        <f>p_atm_si*(v_spec_1/E102)^K/bar_to_Pa</f>
        <v>9.4503009801460003</v>
      </c>
    </row>
    <row r="103" spans="5:6" x14ac:dyDescent="0.3">
      <c r="E103" s="3">
        <f>v_spec_2</f>
        <v>0.16086649201451722</v>
      </c>
      <c r="F103" s="15">
        <f>p_atm_si*(v_spec_1/E103)^K/bar_to_Pa</f>
        <v>10.000000000000004</v>
      </c>
    </row>
  </sheetData>
  <sheetProtection algorithmName="SHA-512" hashValue="sRTKIjNwkkeqh43JTgv+QvbcgUbjeNRvGI6GZ/17DBc0hqIkkJOk5aJEnG8z0yEjoT/tSxh09oe+D5Fkm24UKA==" saltValue="gTStcR8xW7UI1saQR0ojMg==" spinCount="100000" sheet="1" objects="1" scenarios="1" formatCells="0" formatColumns="0" formatRows="0"/>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workbookViewId="0">
      <selection activeCell="E3" sqref="E3"/>
    </sheetView>
  </sheetViews>
  <sheetFormatPr defaultRowHeight="14.4" x14ac:dyDescent="0.3"/>
  <cols>
    <col min="1" max="1" width="45.109375" bestFit="1" customWidth="1"/>
    <col min="2" max="2" width="10" bestFit="1" customWidth="1"/>
    <col min="5" max="5" width="21.88671875" bestFit="1" customWidth="1"/>
    <col min="6" max="6" width="12.44140625" bestFit="1" customWidth="1"/>
    <col min="8" max="8" width="17.88671875" bestFit="1" customWidth="1"/>
  </cols>
  <sheetData>
    <row r="1" spans="1:9" s="1" customFormat="1" x14ac:dyDescent="0.3">
      <c r="A1" s="1" t="s">
        <v>34</v>
      </c>
      <c r="B1" s="1" t="s">
        <v>19</v>
      </c>
      <c r="C1" s="1" t="s">
        <v>20</v>
      </c>
      <c r="E1" s="1" t="s">
        <v>5</v>
      </c>
      <c r="F1"/>
    </row>
    <row r="2" spans="1:9" x14ac:dyDescent="0.3">
      <c r="A2" t="s">
        <v>39</v>
      </c>
      <c r="B2" s="18">
        <f>Q_in_Watt/m_flux*to_kilo</f>
        <v>986.47996051332666</v>
      </c>
      <c r="C2" t="s">
        <v>21</v>
      </c>
      <c r="E2" t="s">
        <v>27</v>
      </c>
      <c r="F2" t="s">
        <v>6</v>
      </c>
      <c r="I2" s="3"/>
    </row>
    <row r="3" spans="1:9" x14ac:dyDescent="0.3">
      <c r="A3" s="4" t="s">
        <v>10</v>
      </c>
      <c r="B3" s="19">
        <f>(q_2_3*from_kilo/c_p)+T_2</f>
        <v>1538.2035602711055</v>
      </c>
      <c r="C3" t="s">
        <v>17</v>
      </c>
      <c r="E3" s="3">
        <f>v_spec_2</f>
        <v>0.16086649201451722</v>
      </c>
      <c r="F3" s="15">
        <f>p_2_si/bar_to_Pa</f>
        <v>10</v>
      </c>
      <c r="I3" s="3"/>
    </row>
    <row r="4" spans="1:9" x14ac:dyDescent="0.3">
      <c r="A4" t="s">
        <v>31</v>
      </c>
      <c r="B4" s="16">
        <f>V_flux_3/m_flux</f>
        <v>0.44454082891834962</v>
      </c>
      <c r="C4" t="s">
        <v>26</v>
      </c>
      <c r="E4" s="3">
        <f>E3+($E$103-$E$3)/100</f>
        <v>0.16370323538355555</v>
      </c>
      <c r="F4" s="15">
        <f>p_2_si/bar_to_Pa</f>
        <v>10</v>
      </c>
    </row>
    <row r="5" spans="1:9" x14ac:dyDescent="0.3">
      <c r="A5" t="s">
        <v>30</v>
      </c>
      <c r="B5" s="18">
        <f>q_2_3-q_2_3/K</f>
        <v>283.67433690383223</v>
      </c>
      <c r="C5" t="s">
        <v>21</v>
      </c>
      <c r="E5" s="3">
        <f t="shared" ref="E5:E68" si="0">E4+($E$103-$E$3)/100</f>
        <v>0.16653997875259388</v>
      </c>
      <c r="F5" s="15">
        <f>p_2_si/bar_to_Pa</f>
        <v>10</v>
      </c>
    </row>
    <row r="6" spans="1:9" x14ac:dyDescent="0.3">
      <c r="A6" t="s">
        <v>62</v>
      </c>
      <c r="B6" s="48">
        <f>m_flux/(rho_3*A_3)</f>
        <v>9.0126682084251843</v>
      </c>
      <c r="C6" t="s">
        <v>59</v>
      </c>
      <c r="E6" s="3">
        <f t="shared" si="0"/>
        <v>0.16937672212163221</v>
      </c>
      <c r="F6" s="15">
        <f>p_2_si/bar_to_Pa</f>
        <v>10</v>
      </c>
    </row>
    <row r="7" spans="1:9" x14ac:dyDescent="0.3">
      <c r="E7" s="3">
        <f t="shared" si="0"/>
        <v>0.17221346549067054</v>
      </c>
      <c r="F7" s="15">
        <f>p_2_si/bar_to_Pa</f>
        <v>10</v>
      </c>
    </row>
    <row r="8" spans="1:9" x14ac:dyDescent="0.3">
      <c r="A8" s="1" t="s">
        <v>28</v>
      </c>
      <c r="E8" s="3">
        <f t="shared" si="0"/>
        <v>0.17505020885970887</v>
      </c>
      <c r="F8" s="15">
        <f>p_2_si/bar_to_Pa</f>
        <v>10</v>
      </c>
    </row>
    <row r="9" spans="1:9" x14ac:dyDescent="0.3">
      <c r="A9" s="21"/>
      <c r="B9" s="22"/>
      <c r="C9" s="23"/>
      <c r="E9" s="3">
        <f t="shared" si="0"/>
        <v>0.1778869522287472</v>
      </c>
      <c r="F9" s="15">
        <f>p_2_si/bar_to_Pa</f>
        <v>10</v>
      </c>
    </row>
    <row r="10" spans="1:9" x14ac:dyDescent="0.3">
      <c r="A10" s="24"/>
      <c r="B10" s="20"/>
      <c r="C10" s="25"/>
      <c r="E10" s="3">
        <f t="shared" si="0"/>
        <v>0.18072369559778553</v>
      </c>
      <c r="F10" s="15">
        <f>p_2_si/bar_to_Pa</f>
        <v>10</v>
      </c>
    </row>
    <row r="11" spans="1:9" x14ac:dyDescent="0.3">
      <c r="A11" s="24"/>
      <c r="B11" s="20"/>
      <c r="C11" s="25"/>
      <c r="E11" s="3">
        <f t="shared" si="0"/>
        <v>0.18356043896682386</v>
      </c>
      <c r="F11" s="15">
        <f>p_2_si/bar_to_Pa</f>
        <v>10</v>
      </c>
    </row>
    <row r="12" spans="1:9" x14ac:dyDescent="0.3">
      <c r="A12" s="24"/>
      <c r="B12" s="20"/>
      <c r="C12" s="25"/>
      <c r="E12" s="3">
        <f t="shared" si="0"/>
        <v>0.18639718233586219</v>
      </c>
      <c r="F12" s="15">
        <f>p_2_si/bar_to_Pa</f>
        <v>10</v>
      </c>
    </row>
    <row r="13" spans="1:9" x14ac:dyDescent="0.3">
      <c r="A13" s="24"/>
      <c r="B13" s="20"/>
      <c r="C13" s="25"/>
      <c r="E13" s="3">
        <f t="shared" si="0"/>
        <v>0.18923392570490052</v>
      </c>
      <c r="F13" s="15">
        <f>p_2_si/bar_to_Pa</f>
        <v>10</v>
      </c>
    </row>
    <row r="14" spans="1:9" x14ac:dyDescent="0.3">
      <c r="A14" s="24"/>
      <c r="B14" s="20"/>
      <c r="C14" s="25"/>
      <c r="E14" s="3">
        <f t="shared" si="0"/>
        <v>0.19207066907393885</v>
      </c>
      <c r="F14" s="15">
        <f>p_2_si/bar_to_Pa</f>
        <v>10</v>
      </c>
    </row>
    <row r="15" spans="1:9" x14ac:dyDescent="0.3">
      <c r="A15" s="24"/>
      <c r="B15" s="20"/>
      <c r="C15" s="25"/>
      <c r="E15" s="3">
        <f t="shared" si="0"/>
        <v>0.19490741244297718</v>
      </c>
      <c r="F15" s="15">
        <f>p_2_si/bar_to_Pa</f>
        <v>10</v>
      </c>
    </row>
    <row r="16" spans="1:9" x14ac:dyDescent="0.3">
      <c r="A16" s="24"/>
      <c r="B16" s="20"/>
      <c r="C16" s="25"/>
      <c r="E16" s="3">
        <f t="shared" si="0"/>
        <v>0.19774415581201552</v>
      </c>
      <c r="F16" s="15">
        <f>p_2_si/bar_to_Pa</f>
        <v>10</v>
      </c>
    </row>
    <row r="17" spans="1:6" x14ac:dyDescent="0.3">
      <c r="A17" s="24"/>
      <c r="B17" s="20"/>
      <c r="C17" s="25"/>
      <c r="E17" s="3">
        <f t="shared" si="0"/>
        <v>0.20058089918105385</v>
      </c>
      <c r="F17" s="15">
        <f>p_2_si/bar_to_Pa</f>
        <v>10</v>
      </c>
    </row>
    <row r="18" spans="1:6" x14ac:dyDescent="0.3">
      <c r="A18" s="24"/>
      <c r="B18" s="20"/>
      <c r="C18" s="25"/>
      <c r="E18" s="3">
        <f t="shared" si="0"/>
        <v>0.20341764255009218</v>
      </c>
      <c r="F18" s="15">
        <f>p_2_si/bar_to_Pa</f>
        <v>10</v>
      </c>
    </row>
    <row r="19" spans="1:6" x14ac:dyDescent="0.3">
      <c r="A19" s="24"/>
      <c r="B19" s="20"/>
      <c r="C19" s="25"/>
      <c r="E19" s="3">
        <f t="shared" si="0"/>
        <v>0.20625438591913051</v>
      </c>
      <c r="F19" s="15">
        <f>p_2_si/bar_to_Pa</f>
        <v>10</v>
      </c>
    </row>
    <row r="20" spans="1:6" x14ac:dyDescent="0.3">
      <c r="A20" s="24"/>
      <c r="B20" s="20"/>
      <c r="C20" s="25"/>
      <c r="E20" s="3">
        <f t="shared" si="0"/>
        <v>0.20909112928816884</v>
      </c>
      <c r="F20" s="15">
        <f>p_2_si/bar_to_Pa</f>
        <v>10</v>
      </c>
    </row>
    <row r="21" spans="1:6" x14ac:dyDescent="0.3">
      <c r="A21" s="24"/>
      <c r="B21" s="20"/>
      <c r="C21" s="25"/>
      <c r="E21" s="3">
        <f t="shared" si="0"/>
        <v>0.21192787265720717</v>
      </c>
      <c r="F21" s="15">
        <f>p_2_si/bar_to_Pa</f>
        <v>10</v>
      </c>
    </row>
    <row r="22" spans="1:6" x14ac:dyDescent="0.3">
      <c r="A22" s="24"/>
      <c r="B22" s="20"/>
      <c r="C22" s="25"/>
      <c r="E22" s="3">
        <f t="shared" si="0"/>
        <v>0.2147646160262455</v>
      </c>
      <c r="F22" s="15">
        <f>p_2_si/bar_to_Pa</f>
        <v>10</v>
      </c>
    </row>
    <row r="23" spans="1:6" x14ac:dyDescent="0.3">
      <c r="A23" s="24"/>
      <c r="B23" s="20"/>
      <c r="C23" s="25"/>
      <c r="E23" s="3">
        <f t="shared" si="0"/>
        <v>0.21760135939528383</v>
      </c>
      <c r="F23" s="15">
        <f>p_2_si/bar_to_Pa</f>
        <v>10</v>
      </c>
    </row>
    <row r="24" spans="1:6" x14ac:dyDescent="0.3">
      <c r="A24" s="24"/>
      <c r="B24" s="20"/>
      <c r="C24" s="25"/>
      <c r="E24" s="3">
        <f t="shared" si="0"/>
        <v>0.22043810276432216</v>
      </c>
      <c r="F24" s="15">
        <f>p_2_si/bar_to_Pa</f>
        <v>10</v>
      </c>
    </row>
    <row r="25" spans="1:6" x14ac:dyDescent="0.3">
      <c r="A25" s="24"/>
      <c r="B25" s="20"/>
      <c r="C25" s="25"/>
      <c r="E25" s="3">
        <f t="shared" si="0"/>
        <v>0.22327484613336049</v>
      </c>
      <c r="F25" s="15">
        <f>p_2_si/bar_to_Pa</f>
        <v>10</v>
      </c>
    </row>
    <row r="26" spans="1:6" x14ac:dyDescent="0.3">
      <c r="A26" s="24"/>
      <c r="B26" s="20"/>
      <c r="C26" s="25"/>
      <c r="E26" s="3">
        <f t="shared" si="0"/>
        <v>0.22611158950239882</v>
      </c>
      <c r="F26" s="15">
        <f>p_2_si/bar_to_Pa</f>
        <v>10</v>
      </c>
    </row>
    <row r="27" spans="1:6" x14ac:dyDescent="0.3">
      <c r="A27" s="24"/>
      <c r="B27" s="20"/>
      <c r="C27" s="25"/>
      <c r="E27" s="3">
        <f t="shared" si="0"/>
        <v>0.22894833287143715</v>
      </c>
      <c r="F27" s="15">
        <f>p_2_si/bar_to_Pa</f>
        <v>10</v>
      </c>
    </row>
    <row r="28" spans="1:6" x14ac:dyDescent="0.3">
      <c r="A28" s="24"/>
      <c r="B28" s="20"/>
      <c r="C28" s="25"/>
      <c r="E28" s="3">
        <f t="shared" si="0"/>
        <v>0.23178507624047548</v>
      </c>
      <c r="F28" s="15">
        <f>p_2_si/bar_to_Pa</f>
        <v>10</v>
      </c>
    </row>
    <row r="29" spans="1:6" x14ac:dyDescent="0.3">
      <c r="A29" s="24"/>
      <c r="B29" s="20"/>
      <c r="C29" s="25"/>
      <c r="E29" s="3">
        <f t="shared" si="0"/>
        <v>0.23462181960951381</v>
      </c>
      <c r="F29" s="15">
        <f>p_2_si/bar_to_Pa</f>
        <v>10</v>
      </c>
    </row>
    <row r="30" spans="1:6" x14ac:dyDescent="0.3">
      <c r="A30" s="24"/>
      <c r="B30" s="20"/>
      <c r="C30" s="25"/>
      <c r="E30" s="3">
        <f t="shared" si="0"/>
        <v>0.23745856297855214</v>
      </c>
      <c r="F30" s="15">
        <f>p_2_si/bar_to_Pa</f>
        <v>10</v>
      </c>
    </row>
    <row r="31" spans="1:6" x14ac:dyDescent="0.3">
      <c r="A31" s="24"/>
      <c r="B31" s="20"/>
      <c r="C31" s="25"/>
      <c r="E31" s="3">
        <f t="shared" si="0"/>
        <v>0.24029530634759047</v>
      </c>
      <c r="F31" s="15">
        <f>p_2_si/bar_to_Pa</f>
        <v>10</v>
      </c>
    </row>
    <row r="32" spans="1:6" x14ac:dyDescent="0.3">
      <c r="A32" s="24"/>
      <c r="B32" s="20"/>
      <c r="C32" s="25"/>
      <c r="E32" s="3">
        <f t="shared" si="0"/>
        <v>0.2431320497166288</v>
      </c>
      <c r="F32" s="15">
        <f>p_2_si/bar_to_Pa</f>
        <v>10</v>
      </c>
    </row>
    <row r="33" spans="1:6" x14ac:dyDescent="0.3">
      <c r="A33" s="24"/>
      <c r="B33" s="20"/>
      <c r="C33" s="25"/>
      <c r="E33" s="3">
        <f t="shared" si="0"/>
        <v>0.24596879308566713</v>
      </c>
      <c r="F33" s="15">
        <f>p_2_si/bar_to_Pa</f>
        <v>10</v>
      </c>
    </row>
    <row r="34" spans="1:6" x14ac:dyDescent="0.3">
      <c r="A34" s="24"/>
      <c r="B34" s="20"/>
      <c r="C34" s="25"/>
      <c r="E34" s="3">
        <f t="shared" si="0"/>
        <v>0.24880553645470546</v>
      </c>
      <c r="F34" s="15">
        <f>p_2_si/bar_to_Pa</f>
        <v>10</v>
      </c>
    </row>
    <row r="35" spans="1:6" x14ac:dyDescent="0.3">
      <c r="A35" s="24"/>
      <c r="B35" s="20"/>
      <c r="C35" s="25"/>
      <c r="E35" s="3">
        <f t="shared" si="0"/>
        <v>0.25164227982374376</v>
      </c>
      <c r="F35" s="15">
        <f>p_2_si/bar_to_Pa</f>
        <v>10</v>
      </c>
    </row>
    <row r="36" spans="1:6" x14ac:dyDescent="0.3">
      <c r="A36" s="24"/>
      <c r="B36" s="20"/>
      <c r="C36" s="25"/>
      <c r="E36" s="3">
        <f t="shared" si="0"/>
        <v>0.25447902319278209</v>
      </c>
      <c r="F36" s="15">
        <f>p_2_si/bar_to_Pa</f>
        <v>10</v>
      </c>
    </row>
    <row r="37" spans="1:6" x14ac:dyDescent="0.3">
      <c r="A37" s="24"/>
      <c r="B37" s="20"/>
      <c r="C37" s="25"/>
      <c r="E37" s="3">
        <f t="shared" si="0"/>
        <v>0.25731576656182042</v>
      </c>
      <c r="F37" s="15">
        <f>p_2_si/bar_to_Pa</f>
        <v>10</v>
      </c>
    </row>
    <row r="38" spans="1:6" x14ac:dyDescent="0.3">
      <c r="A38" s="24"/>
      <c r="B38" s="20"/>
      <c r="C38" s="25"/>
      <c r="E38" s="3">
        <f t="shared" si="0"/>
        <v>0.26015250993085876</v>
      </c>
      <c r="F38" s="15">
        <f>p_2_si/bar_to_Pa</f>
        <v>10</v>
      </c>
    </row>
    <row r="39" spans="1:6" x14ac:dyDescent="0.3">
      <c r="A39" s="24"/>
      <c r="B39" s="20"/>
      <c r="C39" s="25"/>
      <c r="E39" s="3">
        <f t="shared" si="0"/>
        <v>0.26298925329989709</v>
      </c>
      <c r="F39" s="15">
        <f>p_2_si/bar_to_Pa</f>
        <v>10</v>
      </c>
    </row>
    <row r="40" spans="1:6" x14ac:dyDescent="0.3">
      <c r="A40" s="24"/>
      <c r="B40" s="20"/>
      <c r="C40" s="25"/>
      <c r="E40" s="3">
        <f t="shared" si="0"/>
        <v>0.26582599666893542</v>
      </c>
      <c r="F40" s="15">
        <f>p_2_si/bar_to_Pa</f>
        <v>10</v>
      </c>
    </row>
    <row r="41" spans="1:6" x14ac:dyDescent="0.3">
      <c r="A41" s="24"/>
      <c r="B41" s="20"/>
      <c r="C41" s="25"/>
      <c r="E41" s="3">
        <f t="shared" si="0"/>
        <v>0.26866274003797375</v>
      </c>
      <c r="F41" s="15">
        <f>p_2_si/bar_to_Pa</f>
        <v>10</v>
      </c>
    </row>
    <row r="42" spans="1:6" x14ac:dyDescent="0.3">
      <c r="A42" s="24"/>
      <c r="B42" s="20"/>
      <c r="C42" s="25"/>
      <c r="E42" s="3">
        <f t="shared" si="0"/>
        <v>0.27149948340701208</v>
      </c>
      <c r="F42" s="15">
        <f>p_2_si/bar_to_Pa</f>
        <v>10</v>
      </c>
    </row>
    <row r="43" spans="1:6" x14ac:dyDescent="0.3">
      <c r="A43" s="24"/>
      <c r="B43" s="20"/>
      <c r="C43" s="25"/>
      <c r="E43" s="3">
        <f t="shared" si="0"/>
        <v>0.27433622677605041</v>
      </c>
      <c r="F43" s="15">
        <f>p_2_si/bar_to_Pa</f>
        <v>10</v>
      </c>
    </row>
    <row r="44" spans="1:6" x14ac:dyDescent="0.3">
      <c r="A44" s="24"/>
      <c r="B44" s="20"/>
      <c r="C44" s="25"/>
      <c r="E44" s="3">
        <f t="shared" si="0"/>
        <v>0.27717297014508874</v>
      </c>
      <c r="F44" s="15">
        <f>p_2_si/bar_to_Pa</f>
        <v>10</v>
      </c>
    </row>
    <row r="45" spans="1:6" x14ac:dyDescent="0.3">
      <c r="A45" s="24"/>
      <c r="B45" s="20"/>
      <c r="C45" s="25"/>
      <c r="E45" s="3">
        <f t="shared" si="0"/>
        <v>0.28000971351412707</v>
      </c>
      <c r="F45" s="15">
        <f>p_2_si/bar_to_Pa</f>
        <v>10</v>
      </c>
    </row>
    <row r="46" spans="1:6" x14ac:dyDescent="0.3">
      <c r="A46" s="24"/>
      <c r="B46" s="20"/>
      <c r="C46" s="25"/>
      <c r="E46" s="3">
        <f t="shared" si="0"/>
        <v>0.2828464568831654</v>
      </c>
      <c r="F46" s="15">
        <f>p_2_si/bar_to_Pa</f>
        <v>10</v>
      </c>
    </row>
    <row r="47" spans="1:6" x14ac:dyDescent="0.3">
      <c r="A47" s="24"/>
      <c r="B47" s="20"/>
      <c r="C47" s="25"/>
      <c r="E47" s="3">
        <f t="shared" si="0"/>
        <v>0.28568320025220373</v>
      </c>
      <c r="F47" s="15">
        <f>p_2_si/bar_to_Pa</f>
        <v>10</v>
      </c>
    </row>
    <row r="48" spans="1:6" x14ac:dyDescent="0.3">
      <c r="A48" s="24"/>
      <c r="B48" s="20"/>
      <c r="C48" s="25"/>
      <c r="E48" s="3">
        <f t="shared" si="0"/>
        <v>0.28851994362124206</v>
      </c>
      <c r="F48" s="15">
        <f>p_2_si/bar_to_Pa</f>
        <v>10</v>
      </c>
    </row>
    <row r="49" spans="1:6" x14ac:dyDescent="0.3">
      <c r="A49" s="24"/>
      <c r="B49" s="20"/>
      <c r="C49" s="25"/>
      <c r="E49" s="3">
        <f t="shared" si="0"/>
        <v>0.29135668699028039</v>
      </c>
      <c r="F49" s="15">
        <f>p_2_si/bar_to_Pa</f>
        <v>10</v>
      </c>
    </row>
    <row r="50" spans="1:6" x14ac:dyDescent="0.3">
      <c r="A50" s="24"/>
      <c r="B50" s="20"/>
      <c r="C50" s="25"/>
      <c r="E50" s="3">
        <f t="shared" si="0"/>
        <v>0.29419343035931872</v>
      </c>
      <c r="F50" s="15">
        <f>p_2_si/bar_to_Pa</f>
        <v>10</v>
      </c>
    </row>
    <row r="51" spans="1:6" x14ac:dyDescent="0.3">
      <c r="A51" s="26"/>
      <c r="B51" s="27"/>
      <c r="C51" s="28"/>
      <c r="E51" s="3">
        <f t="shared" si="0"/>
        <v>0.29703017372835705</v>
      </c>
      <c r="F51" s="15">
        <f>p_2_si/bar_to_Pa</f>
        <v>10</v>
      </c>
    </row>
    <row r="52" spans="1:6" x14ac:dyDescent="0.3">
      <c r="E52" s="3">
        <f t="shared" si="0"/>
        <v>0.29986691709739538</v>
      </c>
      <c r="F52" s="15">
        <f>p_2_si/bar_to_Pa</f>
        <v>10</v>
      </c>
    </row>
    <row r="53" spans="1:6" x14ac:dyDescent="0.3">
      <c r="E53" s="3">
        <f t="shared" si="0"/>
        <v>0.30270366046643371</v>
      </c>
      <c r="F53" s="15">
        <f>p_2_si/bar_to_Pa</f>
        <v>10</v>
      </c>
    </row>
    <row r="54" spans="1:6" x14ac:dyDescent="0.3">
      <c r="E54" s="3">
        <f t="shared" si="0"/>
        <v>0.30554040383547204</v>
      </c>
      <c r="F54" s="15">
        <f>p_2_si/bar_to_Pa</f>
        <v>10</v>
      </c>
    </row>
    <row r="55" spans="1:6" x14ac:dyDescent="0.3">
      <c r="E55" s="3">
        <f t="shared" si="0"/>
        <v>0.30837714720451037</v>
      </c>
      <c r="F55" s="15">
        <f>p_2_si/bar_to_Pa</f>
        <v>10</v>
      </c>
    </row>
    <row r="56" spans="1:6" x14ac:dyDescent="0.3">
      <c r="E56" s="3">
        <f t="shared" si="0"/>
        <v>0.3112138905735487</v>
      </c>
      <c r="F56" s="15">
        <f>p_2_si/bar_to_Pa</f>
        <v>10</v>
      </c>
    </row>
    <row r="57" spans="1:6" x14ac:dyDescent="0.3">
      <c r="E57" s="3">
        <f t="shared" si="0"/>
        <v>0.31405063394258703</v>
      </c>
      <c r="F57" s="15">
        <f>p_2_si/bar_to_Pa</f>
        <v>10</v>
      </c>
    </row>
    <row r="58" spans="1:6" x14ac:dyDescent="0.3">
      <c r="E58" s="3">
        <f t="shared" si="0"/>
        <v>0.31688737731162536</v>
      </c>
      <c r="F58" s="15">
        <f>p_2_si/bar_to_Pa</f>
        <v>10</v>
      </c>
    </row>
    <row r="59" spans="1:6" x14ac:dyDescent="0.3">
      <c r="E59" s="3">
        <f t="shared" si="0"/>
        <v>0.31972412068066369</v>
      </c>
      <c r="F59" s="15">
        <f>p_2_si/bar_to_Pa</f>
        <v>10</v>
      </c>
    </row>
    <row r="60" spans="1:6" x14ac:dyDescent="0.3">
      <c r="E60" s="3">
        <f t="shared" si="0"/>
        <v>0.32256086404970202</v>
      </c>
      <c r="F60" s="15">
        <f>p_2_si/bar_to_Pa</f>
        <v>10</v>
      </c>
    </row>
    <row r="61" spans="1:6" x14ac:dyDescent="0.3">
      <c r="E61" s="3">
        <f t="shared" si="0"/>
        <v>0.32539760741874035</v>
      </c>
      <c r="F61" s="15">
        <f>p_2_si/bar_to_Pa</f>
        <v>10</v>
      </c>
    </row>
    <row r="62" spans="1:6" x14ac:dyDescent="0.3">
      <c r="E62" s="3">
        <f t="shared" si="0"/>
        <v>0.32823435078777868</v>
      </c>
      <c r="F62" s="15">
        <f>p_2_si/bar_to_Pa</f>
        <v>10</v>
      </c>
    </row>
    <row r="63" spans="1:6" x14ac:dyDescent="0.3">
      <c r="E63" s="3">
        <f t="shared" si="0"/>
        <v>0.33107109415681701</v>
      </c>
      <c r="F63" s="15">
        <f>p_2_si/bar_to_Pa</f>
        <v>10</v>
      </c>
    </row>
    <row r="64" spans="1:6" x14ac:dyDescent="0.3">
      <c r="E64" s="3">
        <f t="shared" si="0"/>
        <v>0.33390783752585534</v>
      </c>
      <c r="F64" s="15">
        <f>p_2_si/bar_to_Pa</f>
        <v>10</v>
      </c>
    </row>
    <row r="65" spans="5:6" x14ac:dyDescent="0.3">
      <c r="E65" s="3">
        <f t="shared" si="0"/>
        <v>0.33674458089489367</v>
      </c>
      <c r="F65" s="15">
        <f>p_2_si/bar_to_Pa</f>
        <v>10</v>
      </c>
    </row>
    <row r="66" spans="5:6" x14ac:dyDescent="0.3">
      <c r="E66" s="3">
        <f t="shared" si="0"/>
        <v>0.33958132426393201</v>
      </c>
      <c r="F66" s="15">
        <f>p_2_si/bar_to_Pa</f>
        <v>10</v>
      </c>
    </row>
    <row r="67" spans="5:6" x14ac:dyDescent="0.3">
      <c r="E67" s="3">
        <f t="shared" si="0"/>
        <v>0.34241806763297034</v>
      </c>
      <c r="F67" s="15">
        <f>p_2_si/bar_to_Pa</f>
        <v>10</v>
      </c>
    </row>
    <row r="68" spans="5:6" x14ac:dyDescent="0.3">
      <c r="E68" s="3">
        <f t="shared" si="0"/>
        <v>0.34525481100200867</v>
      </c>
      <c r="F68" s="15">
        <f>p_2_si/bar_to_Pa</f>
        <v>10</v>
      </c>
    </row>
    <row r="69" spans="5:6" x14ac:dyDescent="0.3">
      <c r="E69" s="3">
        <f t="shared" ref="E69:E102" si="1">E68+($E$103-$E$3)/100</f>
        <v>0.348091554371047</v>
      </c>
      <c r="F69" s="15">
        <f>p_2_si/bar_to_Pa</f>
        <v>10</v>
      </c>
    </row>
    <row r="70" spans="5:6" x14ac:dyDescent="0.3">
      <c r="E70" s="3">
        <f t="shared" si="1"/>
        <v>0.35092829774008533</v>
      </c>
      <c r="F70" s="15">
        <f>p_2_si/bar_to_Pa</f>
        <v>10</v>
      </c>
    </row>
    <row r="71" spans="5:6" x14ac:dyDescent="0.3">
      <c r="E71" s="3">
        <f t="shared" si="1"/>
        <v>0.35376504110912366</v>
      </c>
      <c r="F71" s="15">
        <f>p_2_si/bar_to_Pa</f>
        <v>10</v>
      </c>
    </row>
    <row r="72" spans="5:6" x14ac:dyDescent="0.3">
      <c r="E72" s="3">
        <f t="shared" si="1"/>
        <v>0.35660178447816199</v>
      </c>
      <c r="F72" s="15">
        <f>p_2_si/bar_to_Pa</f>
        <v>10</v>
      </c>
    </row>
    <row r="73" spans="5:6" x14ac:dyDescent="0.3">
      <c r="E73" s="3">
        <f t="shared" si="1"/>
        <v>0.35943852784720032</v>
      </c>
      <c r="F73" s="15">
        <f>p_2_si/bar_to_Pa</f>
        <v>10</v>
      </c>
    </row>
    <row r="74" spans="5:6" x14ac:dyDescent="0.3">
      <c r="E74" s="3">
        <f t="shared" si="1"/>
        <v>0.36227527121623865</v>
      </c>
      <c r="F74" s="15">
        <f>p_2_si/bar_to_Pa</f>
        <v>10</v>
      </c>
    </row>
    <row r="75" spans="5:6" x14ac:dyDescent="0.3">
      <c r="E75" s="3">
        <f t="shared" si="1"/>
        <v>0.36511201458527698</v>
      </c>
      <c r="F75" s="15">
        <f>p_2_si/bar_to_Pa</f>
        <v>10</v>
      </c>
    </row>
    <row r="76" spans="5:6" x14ac:dyDescent="0.3">
      <c r="E76" s="3">
        <f t="shared" si="1"/>
        <v>0.36794875795431531</v>
      </c>
      <c r="F76" s="15">
        <f>p_2_si/bar_to_Pa</f>
        <v>10</v>
      </c>
    </row>
    <row r="77" spans="5:6" x14ac:dyDescent="0.3">
      <c r="E77" s="3">
        <f t="shared" si="1"/>
        <v>0.37078550132335364</v>
      </c>
      <c r="F77" s="15">
        <f>p_2_si/bar_to_Pa</f>
        <v>10</v>
      </c>
    </row>
    <row r="78" spans="5:6" x14ac:dyDescent="0.3">
      <c r="E78" s="3">
        <f t="shared" si="1"/>
        <v>0.37362224469239197</v>
      </c>
      <c r="F78" s="15">
        <f>p_2_si/bar_to_Pa</f>
        <v>10</v>
      </c>
    </row>
    <row r="79" spans="5:6" x14ac:dyDescent="0.3">
      <c r="E79" s="3">
        <f t="shared" si="1"/>
        <v>0.3764589880614303</v>
      </c>
      <c r="F79" s="15">
        <f>p_2_si/bar_to_Pa</f>
        <v>10</v>
      </c>
    </row>
    <row r="80" spans="5:6" x14ac:dyDescent="0.3">
      <c r="E80" s="3">
        <f t="shared" si="1"/>
        <v>0.37929573143046863</v>
      </c>
      <c r="F80" s="15">
        <f>p_2_si/bar_to_Pa</f>
        <v>10</v>
      </c>
    </row>
    <row r="81" spans="5:6" x14ac:dyDescent="0.3">
      <c r="E81" s="3">
        <f t="shared" si="1"/>
        <v>0.38213247479950696</v>
      </c>
      <c r="F81" s="15">
        <f>p_2_si/bar_to_Pa</f>
        <v>10</v>
      </c>
    </row>
    <row r="82" spans="5:6" x14ac:dyDescent="0.3">
      <c r="E82" s="3">
        <f t="shared" si="1"/>
        <v>0.38496921816854529</v>
      </c>
      <c r="F82" s="15">
        <f>p_2_si/bar_to_Pa</f>
        <v>10</v>
      </c>
    </row>
    <row r="83" spans="5:6" x14ac:dyDescent="0.3">
      <c r="E83" s="3">
        <f t="shared" si="1"/>
        <v>0.38780596153758362</v>
      </c>
      <c r="F83" s="15">
        <f>p_2_si/bar_to_Pa</f>
        <v>10</v>
      </c>
    </row>
    <row r="84" spans="5:6" x14ac:dyDescent="0.3">
      <c r="E84" s="3">
        <f t="shared" si="1"/>
        <v>0.39064270490662195</v>
      </c>
      <c r="F84" s="15">
        <f>p_2_si/bar_to_Pa</f>
        <v>10</v>
      </c>
    </row>
    <row r="85" spans="5:6" x14ac:dyDescent="0.3">
      <c r="E85" s="3">
        <f t="shared" si="1"/>
        <v>0.39347944827566028</v>
      </c>
      <c r="F85" s="15">
        <f>p_2_si/bar_to_Pa</f>
        <v>10</v>
      </c>
    </row>
    <row r="86" spans="5:6" x14ac:dyDescent="0.3">
      <c r="E86" s="3">
        <f t="shared" si="1"/>
        <v>0.39631619164469861</v>
      </c>
      <c r="F86" s="15">
        <f>p_2_si/bar_to_Pa</f>
        <v>10</v>
      </c>
    </row>
    <row r="87" spans="5:6" x14ac:dyDescent="0.3">
      <c r="E87" s="3">
        <f t="shared" si="1"/>
        <v>0.39915293501373694</v>
      </c>
      <c r="F87" s="15">
        <f>p_2_si/bar_to_Pa</f>
        <v>10</v>
      </c>
    </row>
    <row r="88" spans="5:6" x14ac:dyDescent="0.3">
      <c r="E88" s="3">
        <f t="shared" si="1"/>
        <v>0.40198967838277527</v>
      </c>
      <c r="F88" s="15">
        <f>p_2_si/bar_to_Pa</f>
        <v>10</v>
      </c>
    </row>
    <row r="89" spans="5:6" x14ac:dyDescent="0.3">
      <c r="E89" s="3">
        <f t="shared" si="1"/>
        <v>0.4048264217518136</v>
      </c>
      <c r="F89" s="15">
        <f>p_2_si/bar_to_Pa</f>
        <v>10</v>
      </c>
    </row>
    <row r="90" spans="5:6" x14ac:dyDescent="0.3">
      <c r="E90" s="3">
        <f t="shared" si="1"/>
        <v>0.40766316512085193</v>
      </c>
      <c r="F90" s="15">
        <f>p_2_si/bar_to_Pa</f>
        <v>10</v>
      </c>
    </row>
    <row r="91" spans="5:6" x14ac:dyDescent="0.3">
      <c r="E91" s="3">
        <f t="shared" si="1"/>
        <v>0.41049990848989026</v>
      </c>
      <c r="F91" s="15">
        <f>p_2_si/bar_to_Pa</f>
        <v>10</v>
      </c>
    </row>
    <row r="92" spans="5:6" x14ac:dyDescent="0.3">
      <c r="E92" s="3">
        <f t="shared" si="1"/>
        <v>0.41333665185892859</v>
      </c>
      <c r="F92" s="15">
        <f>p_2_si/bar_to_Pa</f>
        <v>10</v>
      </c>
    </row>
    <row r="93" spans="5:6" x14ac:dyDescent="0.3">
      <c r="E93" s="3">
        <f t="shared" si="1"/>
        <v>0.41617339522796692</v>
      </c>
      <c r="F93" s="15">
        <f>p_2_si/bar_to_Pa</f>
        <v>10</v>
      </c>
    </row>
    <row r="94" spans="5:6" x14ac:dyDescent="0.3">
      <c r="E94" s="3">
        <f t="shared" si="1"/>
        <v>0.41901013859700525</v>
      </c>
      <c r="F94" s="15">
        <f>p_2_si/bar_to_Pa</f>
        <v>10</v>
      </c>
    </row>
    <row r="95" spans="5:6" x14ac:dyDescent="0.3">
      <c r="E95" s="3">
        <f t="shared" si="1"/>
        <v>0.42184688196604359</v>
      </c>
      <c r="F95" s="15">
        <f>p_2_si/bar_to_Pa</f>
        <v>10</v>
      </c>
    </row>
    <row r="96" spans="5:6" x14ac:dyDescent="0.3">
      <c r="E96" s="3">
        <f t="shared" si="1"/>
        <v>0.42468362533508192</v>
      </c>
      <c r="F96" s="15">
        <f>p_2_si/bar_to_Pa</f>
        <v>10</v>
      </c>
    </row>
    <row r="97" spans="5:6" x14ac:dyDescent="0.3">
      <c r="E97" s="3">
        <f t="shared" si="1"/>
        <v>0.42752036870412025</v>
      </c>
      <c r="F97" s="15">
        <f>p_2_si/bar_to_Pa</f>
        <v>10</v>
      </c>
    </row>
    <row r="98" spans="5:6" x14ac:dyDescent="0.3">
      <c r="E98" s="3">
        <f t="shared" si="1"/>
        <v>0.43035711207315858</v>
      </c>
      <c r="F98" s="15">
        <f>p_2_si/bar_to_Pa</f>
        <v>10</v>
      </c>
    </row>
    <row r="99" spans="5:6" x14ac:dyDescent="0.3">
      <c r="E99" s="3">
        <f t="shared" si="1"/>
        <v>0.43319385544219691</v>
      </c>
      <c r="F99" s="15">
        <f>p_2_si/bar_to_Pa</f>
        <v>10</v>
      </c>
    </row>
    <row r="100" spans="5:6" x14ac:dyDescent="0.3">
      <c r="E100" s="3">
        <f t="shared" si="1"/>
        <v>0.43603059881123524</v>
      </c>
      <c r="F100" s="15">
        <f>p_2_si/bar_to_Pa</f>
        <v>10</v>
      </c>
    </row>
    <row r="101" spans="5:6" x14ac:dyDescent="0.3">
      <c r="E101" s="3">
        <f t="shared" si="1"/>
        <v>0.43886734218027357</v>
      </c>
      <c r="F101" s="15">
        <f>p_2_si/bar_to_Pa</f>
        <v>10</v>
      </c>
    </row>
    <row r="102" spans="5:6" x14ac:dyDescent="0.3">
      <c r="E102" s="3">
        <f t="shared" si="1"/>
        <v>0.4417040855493119</v>
      </c>
      <c r="F102" s="15">
        <f>p_2_si/bar_to_Pa</f>
        <v>10</v>
      </c>
    </row>
    <row r="103" spans="5:6" x14ac:dyDescent="0.3">
      <c r="E103" s="3">
        <f>v_spec_3</f>
        <v>0.44454082891834962</v>
      </c>
      <c r="F103" s="15">
        <f>p_2_si/bar_to_Pa</f>
        <v>10</v>
      </c>
    </row>
  </sheetData>
  <sheetProtection algorithmName="SHA-512" hashValue="BI7zjq1JwKzizJK9a+WZ4TsFGTDlcI0S+b8jc9ehhNb7e0gQcfMLKLb6W7sOrCsr/PiolGC8Zac5zePU+aoHAw==" saltValue="9tA+HOZVBHU+k9New8+5EQ==" spinCount="100000" sheet="1" objects="1" scenarios="1" formatCells="0" formatColumns="0" formatRows="0"/>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97" workbookViewId="0">
      <selection activeCell="F4" sqref="F4:F103"/>
    </sheetView>
  </sheetViews>
  <sheetFormatPr defaultRowHeight="14.4" x14ac:dyDescent="0.3"/>
  <cols>
    <col min="1" max="1" width="44.44140625" customWidth="1"/>
    <col min="2" max="2" width="10" bestFit="1" customWidth="1"/>
    <col min="3" max="3" width="8.33203125" bestFit="1" customWidth="1"/>
    <col min="5" max="5" width="21.88671875" bestFit="1" customWidth="1"/>
    <col min="6" max="6" width="12.44140625" bestFit="1" customWidth="1"/>
  </cols>
  <sheetData>
    <row r="1" spans="1:6" s="1" customFormat="1" x14ac:dyDescent="0.3">
      <c r="A1" s="1" t="s">
        <v>35</v>
      </c>
      <c r="B1" s="1" t="s">
        <v>19</v>
      </c>
      <c r="C1" s="1" t="s">
        <v>20</v>
      </c>
      <c r="E1" s="1" t="s">
        <v>5</v>
      </c>
      <c r="F1"/>
    </row>
    <row r="2" spans="1:6" x14ac:dyDescent="0.3">
      <c r="A2" t="s">
        <v>32</v>
      </c>
      <c r="B2" s="16">
        <f>V_flux_4/m_flux</f>
        <v>2.2717110208712703</v>
      </c>
      <c r="C2" t="s">
        <v>26</v>
      </c>
      <c r="E2" t="s">
        <v>27</v>
      </c>
      <c r="F2" t="s">
        <v>6</v>
      </c>
    </row>
    <row r="3" spans="1:6" x14ac:dyDescent="0.3">
      <c r="A3" t="s">
        <v>41</v>
      </c>
      <c r="B3" s="14">
        <f>((p_atm_si/p_2_si)^(K-1) * T_3^K)^(1/K)</f>
        <v>796.27794607010253</v>
      </c>
      <c r="C3" t="s">
        <v>17</v>
      </c>
      <c r="E3" s="3">
        <f>v_spec_3</f>
        <v>0.44454082891834962</v>
      </c>
      <c r="F3" s="15">
        <f>p_2_si/bar_to_Pa</f>
        <v>10</v>
      </c>
    </row>
    <row r="4" spans="1:6" x14ac:dyDescent="0.3">
      <c r="A4" t="s">
        <v>23</v>
      </c>
      <c r="B4" s="18">
        <f>-1/(K-1)*(p_atm_si*v_spec_4-p_2_si*v_spec_3)*to_kilo</f>
        <v>531.21873976791835</v>
      </c>
      <c r="C4" t="s">
        <v>21</v>
      </c>
      <c r="E4" s="3">
        <f>E3+($E$103-$E$3)/100</f>
        <v>0.46281253083787882</v>
      </c>
      <c r="F4" s="15">
        <f>p_2_si*(v_spec_3/E4)^K/bar_to_Pa</f>
        <v>9.4503009801460802</v>
      </c>
    </row>
    <row r="5" spans="1:6" x14ac:dyDescent="0.3">
      <c r="A5" t="s">
        <v>64</v>
      </c>
      <c r="B5" s="48">
        <f>m_flux/(rho_4*A_4)</f>
        <v>4.6056911682000274</v>
      </c>
      <c r="C5" t="s">
        <v>59</v>
      </c>
      <c r="E5" s="3">
        <f t="shared" ref="E5:E68" si="0">E4+($E$103-$E$3)/100</f>
        <v>0.48108423275740803</v>
      </c>
      <c r="F5" s="15">
        <f>p_2_si*(v_spec_3/E5)^K/bar_to_Pa</f>
        <v>8.9503940659528016</v>
      </c>
    </row>
    <row r="6" spans="1:6" x14ac:dyDescent="0.3">
      <c r="E6" s="3">
        <f t="shared" si="0"/>
        <v>0.49935593467693723</v>
      </c>
      <c r="F6" s="15">
        <f>p_2_si*(v_spec_3/E6)^K/bar_to_Pa</f>
        <v>8.494124854197965</v>
      </c>
    </row>
    <row r="7" spans="1:6" x14ac:dyDescent="0.3">
      <c r="A7" s="1" t="s">
        <v>28</v>
      </c>
      <c r="E7" s="3">
        <f t="shared" si="0"/>
        <v>0.51762763659646649</v>
      </c>
      <c r="F7" s="15">
        <f>p_2_si*(v_spec_3/E7)^K/bar_to_Pa</f>
        <v>8.0762886063258836</v>
      </c>
    </row>
    <row r="8" spans="1:6" x14ac:dyDescent="0.3">
      <c r="A8" s="21"/>
      <c r="B8" s="22"/>
      <c r="C8" s="23"/>
      <c r="E8" s="3">
        <f t="shared" si="0"/>
        <v>0.53589933851599569</v>
      </c>
      <c r="F8" s="15">
        <f>p_2_si*(v_spec_3/E8)^K/bar_to_Pa</f>
        <v>7.6924565262786251</v>
      </c>
    </row>
    <row r="9" spans="1:6" x14ac:dyDescent="0.3">
      <c r="A9" s="24"/>
      <c r="B9" s="20"/>
      <c r="C9" s="25"/>
      <c r="E9" s="3">
        <f t="shared" si="0"/>
        <v>0.5541710404355249</v>
      </c>
      <c r="F9" s="15">
        <f>p_2_si*(v_spec_3/E9)^K/bar_to_Pa</f>
        <v>7.3388384638978135</v>
      </c>
    </row>
    <row r="10" spans="1:6" x14ac:dyDescent="0.3">
      <c r="A10" s="24"/>
      <c r="B10" s="20"/>
      <c r="C10" s="25"/>
      <c r="E10" s="3">
        <f t="shared" si="0"/>
        <v>0.5724427423550541</v>
      </c>
      <c r="F10" s="15">
        <f>p_2_si*(v_spec_3/E10)^K/bar_to_Pa</f>
        <v>7.0121734938425142</v>
      </c>
    </row>
    <row r="11" spans="1:6" x14ac:dyDescent="0.3">
      <c r="A11" s="24"/>
      <c r="B11" s="20"/>
      <c r="C11" s="25"/>
      <c r="E11" s="3">
        <f t="shared" si="0"/>
        <v>0.59071444427458331</v>
      </c>
      <c r="F11" s="15">
        <f>p_2_si*(v_spec_3/E11)^K/bar_to_Pa</f>
        <v>6.7096420278954696</v>
      </c>
    </row>
    <row r="12" spans="1:6" x14ac:dyDescent="0.3">
      <c r="A12" s="24"/>
      <c r="B12" s="20"/>
      <c r="C12" s="25"/>
      <c r="E12" s="3">
        <f t="shared" si="0"/>
        <v>0.60898614619411251</v>
      </c>
      <c r="F12" s="15">
        <f>p_2_si*(v_spec_3/E12)^K/bar_to_Pa</f>
        <v>6.4287947074838891</v>
      </c>
    </row>
    <row r="13" spans="1:6" x14ac:dyDescent="0.3">
      <c r="A13" s="24"/>
      <c r="B13" s="20"/>
      <c r="C13" s="25"/>
      <c r="E13" s="3">
        <f t="shared" si="0"/>
        <v>0.62725784811364171</v>
      </c>
      <c r="F13" s="15">
        <f>p_2_si*(v_spec_3/E13)^K/bar_to_Pa</f>
        <v>6.1674944796356677</v>
      </c>
    </row>
    <row r="14" spans="1:6" x14ac:dyDescent="0.3">
      <c r="A14" s="24"/>
      <c r="B14" s="20"/>
      <c r="C14" s="25"/>
      <c r="E14" s="3">
        <f t="shared" si="0"/>
        <v>0.64552955003317092</v>
      </c>
      <c r="F14" s="15">
        <f>p_2_si*(v_spec_3/E14)^K/bar_to_Pa</f>
        <v>5.9238691100360512</v>
      </c>
    </row>
    <row r="15" spans="1:6" x14ac:dyDescent="0.3">
      <c r="A15" s="24"/>
      <c r="B15" s="20"/>
      <c r="C15" s="25"/>
      <c r="E15" s="3">
        <f t="shared" si="0"/>
        <v>0.66380125195270012</v>
      </c>
      <c r="F15" s="15">
        <f>p_2_si*(v_spec_3/E15)^K/bar_to_Pa</f>
        <v>5.6962720184448141</v>
      </c>
    </row>
    <row r="16" spans="1:6" x14ac:dyDescent="0.3">
      <c r="A16" s="24"/>
      <c r="B16" s="20"/>
      <c r="C16" s="25"/>
      <c r="E16" s="3">
        <f t="shared" si="0"/>
        <v>0.68207295387222933</v>
      </c>
      <c r="F16" s="15">
        <f>p_2_si*(v_spec_3/E16)^K/bar_to_Pa</f>
        <v>5.4832497951252526</v>
      </c>
    </row>
    <row r="17" spans="1:6" x14ac:dyDescent="0.3">
      <c r="A17" s="24"/>
      <c r="B17" s="20"/>
      <c r="C17" s="25"/>
      <c r="E17" s="3">
        <f t="shared" si="0"/>
        <v>0.70034465579175853</v>
      </c>
      <c r="F17" s="15">
        <f>p_2_si*(v_spec_3/E17)^K/bar_to_Pa</f>
        <v>5.2835151148266597</v>
      </c>
    </row>
    <row r="18" spans="1:6" x14ac:dyDescent="0.3">
      <c r="A18" s="24"/>
      <c r="B18" s="20"/>
      <c r="C18" s="25"/>
      <c r="E18" s="3">
        <f t="shared" si="0"/>
        <v>0.71861635771128773</v>
      </c>
      <c r="F18" s="15">
        <f>p_2_si*(v_spec_3/E18)^K/bar_to_Pa</f>
        <v>5.0959240376398558</v>
      </c>
    </row>
    <row r="19" spans="1:6" x14ac:dyDescent="0.3">
      <c r="A19" s="24"/>
      <c r="B19" s="20"/>
      <c r="C19" s="25"/>
      <c r="E19" s="3">
        <f t="shared" si="0"/>
        <v>0.73688805963081694</v>
      </c>
      <c r="F19" s="15">
        <f>p_2_si*(v_spec_3/E19)^K/bar_to_Pa</f>
        <v>4.9194568955514582</v>
      </c>
    </row>
    <row r="20" spans="1:6" x14ac:dyDescent="0.3">
      <c r="A20" s="24"/>
      <c r="B20" s="20"/>
      <c r="C20" s="25"/>
      <c r="E20" s="3">
        <f t="shared" si="0"/>
        <v>0.75515976155034614</v>
      </c>
      <c r="F20" s="15">
        <f>p_2_si*(v_spec_3/E20)^K/bar_to_Pa</f>
        <v>4.7532021256027415</v>
      </c>
    </row>
    <row r="21" spans="1:6" x14ac:dyDescent="0.3">
      <c r="A21" s="24"/>
      <c r="B21" s="20"/>
      <c r="C21" s="25"/>
      <c r="E21" s="3">
        <f t="shared" si="0"/>
        <v>0.77343146346987535</v>
      </c>
      <c r="F21" s="15">
        <f>p_2_si*(v_spec_3/E21)^K/bar_to_Pa</f>
        <v>4.5963425368110284</v>
      </c>
    </row>
    <row r="22" spans="1:6" x14ac:dyDescent="0.3">
      <c r="A22" s="24"/>
      <c r="B22" s="20"/>
      <c r="C22" s="25"/>
      <c r="E22" s="3">
        <f t="shared" si="0"/>
        <v>0.79170316538940455</v>
      </c>
      <c r="F22" s="15">
        <f>p_2_si*(v_spec_3/E22)^K/bar_to_Pa</f>
        <v>4.4481435969964371</v>
      </c>
    </row>
    <row r="23" spans="1:6" x14ac:dyDescent="0.3">
      <c r="A23" s="24"/>
      <c r="B23" s="20"/>
      <c r="C23" s="25"/>
      <c r="E23" s="3">
        <f t="shared" si="0"/>
        <v>0.80997486730893375</v>
      </c>
      <c r="F23" s="15">
        <f>p_2_si*(v_spec_3/E23)^K/bar_to_Pa</f>
        <v>4.3079434037431756</v>
      </c>
    </row>
    <row r="24" spans="1:6" x14ac:dyDescent="0.3">
      <c r="A24" s="24"/>
      <c r="B24" s="20"/>
      <c r="C24" s="25"/>
      <c r="E24" s="3">
        <f t="shared" si="0"/>
        <v>0.82824656922846296</v>
      </c>
      <c r="F24" s="15">
        <f>p_2_si*(v_spec_3/E24)^K/bar_to_Pa</f>
        <v>4.1751440656868342</v>
      </c>
    </row>
    <row r="25" spans="1:6" x14ac:dyDescent="0.3">
      <c r="A25" s="24"/>
      <c r="B25" s="20"/>
      <c r="C25" s="25"/>
      <c r="E25" s="3">
        <f t="shared" si="0"/>
        <v>0.84651827114799216</v>
      </c>
      <c r="F25" s="15">
        <f>p_2_si*(v_spec_3/E25)^K/bar_to_Pa</f>
        <v>4.0492042697614101</v>
      </c>
    </row>
    <row r="26" spans="1:6" x14ac:dyDescent="0.3">
      <c r="A26" s="24"/>
      <c r="B26" s="20"/>
      <c r="C26" s="25"/>
      <c r="E26" s="3">
        <f t="shared" si="0"/>
        <v>0.86478997306752137</v>
      </c>
      <c r="F26" s="15">
        <f>p_2_si*(v_spec_3/E26)^K/bar_to_Pa</f>
        <v>3.9296328497021511</v>
      </c>
    </row>
    <row r="27" spans="1:6" x14ac:dyDescent="0.3">
      <c r="A27" s="24"/>
      <c r="B27" s="20"/>
      <c r="C27" s="25"/>
      <c r="E27" s="3">
        <f t="shared" si="0"/>
        <v>0.88306167498705057</v>
      </c>
      <c r="F27" s="15">
        <f>p_2_si*(v_spec_3/E27)^K/bar_to_Pa</f>
        <v>3.8159832030787251</v>
      </c>
    </row>
    <row r="28" spans="1:6" x14ac:dyDescent="0.3">
      <c r="A28" s="24"/>
      <c r="B28" s="20"/>
      <c r="C28" s="25"/>
      <c r="E28" s="3">
        <f t="shared" si="0"/>
        <v>0.90133337690657978</v>
      </c>
      <c r="F28" s="15">
        <f>p_2_si*(v_spec_3/E28)^K/bar_to_Pa</f>
        <v>3.7078484300414791</v>
      </c>
    </row>
    <row r="29" spans="1:6" x14ac:dyDescent="0.3">
      <c r="A29" s="24"/>
      <c r="B29" s="20"/>
      <c r="C29" s="25"/>
      <c r="E29" s="3">
        <f t="shared" si="0"/>
        <v>0.91960507882610898</v>
      </c>
      <c r="F29" s="15">
        <f>p_2_si*(v_spec_3/E29)^K/bar_to_Pa</f>
        <v>3.604857088051034</v>
      </c>
    </row>
    <row r="30" spans="1:6" x14ac:dyDescent="0.3">
      <c r="A30" s="24"/>
      <c r="B30" s="20"/>
      <c r="C30" s="25"/>
      <c r="E30" s="3">
        <f t="shared" si="0"/>
        <v>0.93787678074563818</v>
      </c>
      <c r="F30" s="15">
        <f>p_2_si*(v_spec_3/E30)^K/bar_to_Pa</f>
        <v>3.5066694741015292</v>
      </c>
    </row>
    <row r="31" spans="1:6" x14ac:dyDescent="0.3">
      <c r="A31" s="24"/>
      <c r="B31" s="20"/>
      <c r="C31" s="25"/>
      <c r="E31" s="3">
        <f t="shared" si="0"/>
        <v>0.95614848266516739</v>
      </c>
      <c r="F31" s="15">
        <f>p_2_si*(v_spec_3/E31)^K/bar_to_Pa</f>
        <v>3.4129743601020217</v>
      </c>
    </row>
    <row r="32" spans="1:6" x14ac:dyDescent="0.3">
      <c r="A32" s="24"/>
      <c r="B32" s="20"/>
      <c r="C32" s="25"/>
      <c r="E32" s="3">
        <f t="shared" si="0"/>
        <v>0.97442018458469659</v>
      </c>
      <c r="F32" s="15">
        <f>p_2_si*(v_spec_3/E32)^K/bar_to_Pa</f>
        <v>3.3234861187487752</v>
      </c>
    </row>
    <row r="33" spans="1:6" x14ac:dyDescent="0.3">
      <c r="A33" s="24"/>
      <c r="B33" s="20"/>
      <c r="C33" s="25"/>
      <c r="E33" s="3">
        <f t="shared" si="0"/>
        <v>0.9926918865042258</v>
      </c>
      <c r="F33" s="15">
        <f>p_2_si*(v_spec_3/E33)^K/bar_to_Pa</f>
        <v>3.2379421868774942</v>
      </c>
    </row>
    <row r="34" spans="1:6" x14ac:dyDescent="0.3">
      <c r="A34" s="24"/>
      <c r="B34" s="20"/>
      <c r="C34" s="25"/>
      <c r="E34" s="3">
        <f t="shared" si="0"/>
        <v>1.0109635884237551</v>
      </c>
      <c r="F34" s="15">
        <f>p_2_si*(v_spec_3/E34)^K/bar_to_Pa</f>
        <v>3.1561008213058708</v>
      </c>
    </row>
    <row r="35" spans="1:6" x14ac:dyDescent="0.3">
      <c r="A35" s="24"/>
      <c r="B35" s="20"/>
      <c r="C35" s="25"/>
      <c r="E35" s="3">
        <f t="shared" si="0"/>
        <v>1.0292352903432844</v>
      </c>
      <c r="F35" s="15">
        <f>p_2_si*(v_spec_3/E35)^K/bar_to_Pa</f>
        <v>3.0777391088640327</v>
      </c>
    </row>
    <row r="36" spans="1:6" x14ac:dyDescent="0.3">
      <c r="A36" s="24"/>
      <c r="B36" s="20"/>
      <c r="C36" s="25"/>
      <c r="E36" s="3">
        <f t="shared" si="0"/>
        <v>1.0475069922628137</v>
      </c>
      <c r="F36" s="15">
        <f>p_2_si*(v_spec_3/E36)^K/bar_to_Pa</f>
        <v>3.0026511979047452</v>
      </c>
    </row>
    <row r="37" spans="1:6" x14ac:dyDescent="0.3">
      <c r="A37" s="24"/>
      <c r="B37" s="20"/>
      <c r="C37" s="25"/>
      <c r="E37" s="3">
        <f t="shared" si="0"/>
        <v>1.0657786941823431</v>
      </c>
      <c r="F37" s="15">
        <f>p_2_si*(v_spec_3/E37)^K/bar_to_Pa</f>
        <v>2.9306467232808346</v>
      </c>
    </row>
    <row r="38" spans="1:6" x14ac:dyDescent="0.3">
      <c r="A38" s="24"/>
      <c r="B38" s="20"/>
      <c r="C38" s="25"/>
      <c r="E38" s="3">
        <f t="shared" si="0"/>
        <v>1.0840503961018724</v>
      </c>
      <c r="F38" s="15">
        <f>p_2_si*(v_spec_3/E38)^K/bar_to_Pa</f>
        <v>2.8615494007312439</v>
      </c>
    </row>
    <row r="39" spans="1:6" x14ac:dyDescent="0.3">
      <c r="A39" s="24"/>
      <c r="B39" s="20"/>
      <c r="C39" s="25"/>
      <c r="E39" s="3">
        <f t="shared" si="0"/>
        <v>1.1023220980214017</v>
      </c>
      <c r="F39" s="15">
        <f>p_2_si*(v_spec_3/E39)^K/bar_to_Pa</f>
        <v>2.7951957699569268</v>
      </c>
    </row>
    <row r="40" spans="1:6" x14ac:dyDescent="0.3">
      <c r="A40" s="24"/>
      <c r="B40" s="20"/>
      <c r="C40" s="25"/>
      <c r="E40" s="3">
        <f t="shared" si="0"/>
        <v>1.120593799940931</v>
      </c>
      <c r="F40" s="15">
        <f>p_2_si*(v_spec_3/E40)^K/bar_to_Pa</f>
        <v>2.7314340684971969</v>
      </c>
    </row>
    <row r="41" spans="1:6" x14ac:dyDescent="0.3">
      <c r="A41" s="24"/>
      <c r="B41" s="20"/>
      <c r="C41" s="25"/>
      <c r="E41" s="3">
        <f t="shared" si="0"/>
        <v>1.1388655018604603</v>
      </c>
      <c r="F41" s="15">
        <f>p_2_si*(v_spec_3/E41)^K/bar_to_Pa</f>
        <v>2.6701232209210808</v>
      </c>
    </row>
    <row r="42" spans="1:6" x14ac:dyDescent="0.3">
      <c r="A42" s="24"/>
      <c r="B42" s="20"/>
      <c r="C42" s="25"/>
      <c r="E42" s="3">
        <f t="shared" si="0"/>
        <v>1.1571372037799896</v>
      </c>
      <c r="F42" s="15">
        <f>p_2_si*(v_spec_3/E42)^K/bar_to_Pa</f>
        <v>2.6111319298964357</v>
      </c>
    </row>
    <row r="43" spans="1:6" x14ac:dyDescent="0.3">
      <c r="A43" s="24"/>
      <c r="B43" s="20"/>
      <c r="C43" s="25"/>
      <c r="E43" s="3">
        <f t="shared" si="0"/>
        <v>1.1754089056995189</v>
      </c>
      <c r="F43" s="15">
        <f>p_2_si*(v_spec_3/E43)^K/bar_to_Pa</f>
        <v>2.5543378574492963</v>
      </c>
    </row>
    <row r="44" spans="1:6" x14ac:dyDescent="0.3">
      <c r="A44" s="24"/>
      <c r="B44" s="20"/>
      <c r="C44" s="25"/>
      <c r="E44" s="3">
        <f t="shared" si="0"/>
        <v>1.1936806076190483</v>
      </c>
      <c r="F44" s="15">
        <f>p_2_si*(v_spec_3/E44)^K/bar_to_Pa</f>
        <v>2.499626886224608</v>
      </c>
    </row>
    <row r="45" spans="1:6" x14ac:dyDescent="0.3">
      <c r="A45" s="24"/>
      <c r="B45" s="20"/>
      <c r="C45" s="25"/>
      <c r="E45" s="3">
        <f t="shared" si="0"/>
        <v>1.2119523095385776</v>
      </c>
      <c r="F45" s="15">
        <f>p_2_si*(v_spec_3/E45)^K/bar_to_Pa</f>
        <v>2.446892451846352</v>
      </c>
    </row>
    <row r="46" spans="1:6" x14ac:dyDescent="0.3">
      <c r="A46" s="24"/>
      <c r="B46" s="20"/>
      <c r="C46" s="25"/>
      <c r="E46" s="3">
        <f t="shared" si="0"/>
        <v>1.2302240114581069</v>
      </c>
      <c r="F46" s="15">
        <f>p_2_si*(v_spec_3/E46)^K/bar_to_Pa</f>
        <v>2.3960349385827633</v>
      </c>
    </row>
    <row r="47" spans="1:6" x14ac:dyDescent="0.3">
      <c r="A47" s="24"/>
      <c r="B47" s="20"/>
      <c r="C47" s="25"/>
      <c r="E47" s="3">
        <f t="shared" si="0"/>
        <v>1.2484957133776362</v>
      </c>
      <c r="F47" s="15">
        <f>p_2_si*(v_spec_3/E47)^K/bar_to_Pa</f>
        <v>2.3469611314780412</v>
      </c>
    </row>
    <row r="48" spans="1:6" x14ac:dyDescent="0.3">
      <c r="A48" s="24"/>
      <c r="B48" s="20"/>
      <c r="C48" s="25"/>
      <c r="E48" s="3">
        <f t="shared" si="0"/>
        <v>1.2667674152971655</v>
      </c>
      <c r="F48" s="15">
        <f>p_2_si*(v_spec_3/E48)^K/bar_to_Pa</f>
        <v>2.2995837189384432</v>
      </c>
    </row>
    <row r="49" spans="1:6" x14ac:dyDescent="0.3">
      <c r="A49" s="24"/>
      <c r="B49" s="20"/>
      <c r="C49" s="25"/>
      <c r="E49" s="3">
        <f t="shared" si="0"/>
        <v>1.2850391172166948</v>
      </c>
      <c r="F49" s="15">
        <f>p_2_si*(v_spec_3/E49)^K/bar_to_Pa</f>
        <v>2.2538208404768687</v>
      </c>
    </row>
    <row r="50" spans="1:6" x14ac:dyDescent="0.3">
      <c r="A50" s="24"/>
      <c r="B50" s="20"/>
      <c r="C50" s="25"/>
      <c r="E50" s="3">
        <f t="shared" si="0"/>
        <v>1.3033108191362242</v>
      </c>
      <c r="F50" s="15">
        <f>p_2_si*(v_spec_3/E50)^K/bar_to_Pa</f>
        <v>2.2095956749422574</v>
      </c>
    </row>
    <row r="51" spans="1:6" x14ac:dyDescent="0.3">
      <c r="A51" s="26"/>
      <c r="B51" s="27"/>
      <c r="C51" s="28"/>
      <c r="E51" s="3">
        <f t="shared" si="0"/>
        <v>1.3215825210557535</v>
      </c>
      <c r="F51" s="15">
        <f>p_2_si*(v_spec_3/E51)^K/bar_to_Pa</f>
        <v>2.1668360651015175</v>
      </c>
    </row>
    <row r="52" spans="1:6" x14ac:dyDescent="0.3">
      <c r="E52" s="3">
        <f t="shared" si="0"/>
        <v>1.3398542229752828</v>
      </c>
      <c r="F52" s="15">
        <f>p_2_si*(v_spec_3/E52)^K/bar_to_Pa</f>
        <v>2.1254741749139741</v>
      </c>
    </row>
    <row r="53" spans="1:6" x14ac:dyDescent="0.3">
      <c r="E53" s="3">
        <f t="shared" si="0"/>
        <v>1.3581259248948121</v>
      </c>
      <c r="F53" s="15">
        <f>p_2_si*(v_spec_3/E53)^K/bar_to_Pa</f>
        <v>2.0854461762509757</v>
      </c>
    </row>
    <row r="54" spans="1:6" x14ac:dyDescent="0.3">
      <c r="E54" s="3">
        <f t="shared" si="0"/>
        <v>1.3763976268143414</v>
      </c>
      <c r="F54" s="15">
        <f>p_2_si*(v_spec_3/E54)^K/bar_to_Pa</f>
        <v>2.0466919621745649</v>
      </c>
    </row>
    <row r="55" spans="1:6" x14ac:dyDescent="0.3">
      <c r="E55" s="3">
        <f t="shared" si="0"/>
        <v>1.3946693287338707</v>
      </c>
      <c r="F55" s="15">
        <f>p_2_si*(v_spec_3/E55)^K/bar_to_Pa</f>
        <v>2.0091548842060334</v>
      </c>
    </row>
    <row r="56" spans="1:6" x14ac:dyDescent="0.3">
      <c r="E56" s="3">
        <f t="shared" si="0"/>
        <v>1.4129410306534</v>
      </c>
      <c r="F56" s="15">
        <f>p_2_si*(v_spec_3/E56)^K/bar_to_Pa</f>
        <v>1.9727815112936127</v>
      </c>
    </row>
    <row r="57" spans="1:6" x14ac:dyDescent="0.3">
      <c r="E57" s="3">
        <f t="shared" si="0"/>
        <v>1.4312127325729294</v>
      </c>
      <c r="F57" s="15">
        <f>p_2_si*(v_spec_3/E57)^K/bar_to_Pa</f>
        <v>1.9375214084337038</v>
      </c>
    </row>
    <row r="58" spans="1:6" x14ac:dyDescent="0.3">
      <c r="E58" s="3">
        <f t="shared" si="0"/>
        <v>1.4494844344924587</v>
      </c>
      <c r="F58" s="15">
        <f>p_2_si*(v_spec_3/E58)^K/bar_to_Pa</f>
        <v>1.9033269331161506</v>
      </c>
    </row>
    <row r="59" spans="1:6" x14ac:dyDescent="0.3">
      <c r="E59" s="3">
        <f t="shared" si="0"/>
        <v>1.467756136411988</v>
      </c>
      <c r="F59" s="15">
        <f>p_2_si*(v_spec_3/E59)^K/bar_to_Pa</f>
        <v>1.8701530479550021</v>
      </c>
    </row>
    <row r="60" spans="1:6" x14ac:dyDescent="0.3">
      <c r="E60" s="3">
        <f t="shared" si="0"/>
        <v>1.4860278383315173</v>
      </c>
      <c r="F60" s="15">
        <f>p_2_si*(v_spec_3/E60)^K/bar_to_Pa</f>
        <v>1.8379571480350456</v>
      </c>
    </row>
    <row r="61" spans="1:6" x14ac:dyDescent="0.3">
      <c r="E61" s="3">
        <f t="shared" si="0"/>
        <v>1.5042995402510466</v>
      </c>
      <c r="F61" s="15">
        <f>p_2_si*(v_spec_3/E61)^K/bar_to_Pa</f>
        <v>1.8066989016540784</v>
      </c>
    </row>
    <row r="62" spans="1:6" x14ac:dyDescent="0.3">
      <c r="E62" s="3">
        <f t="shared" si="0"/>
        <v>1.5225712421705759</v>
      </c>
      <c r="F62" s="15">
        <f>p_2_si*(v_spec_3/E62)^K/bar_to_Pa</f>
        <v>1.7763401032736603</v>
      </c>
    </row>
    <row r="63" spans="1:6" x14ac:dyDescent="0.3">
      <c r="E63" s="3">
        <f t="shared" si="0"/>
        <v>1.5408429440901052</v>
      </c>
      <c r="F63" s="15">
        <f>p_2_si*(v_spec_3/E63)^K/bar_to_Pa</f>
        <v>1.7468445376091111</v>
      </c>
    </row>
    <row r="64" spans="1:6" x14ac:dyDescent="0.3">
      <c r="E64" s="3">
        <f t="shared" si="0"/>
        <v>1.5591146460096346</v>
      </c>
      <c r="F64" s="15">
        <f>p_2_si*(v_spec_3/E64)^K/bar_to_Pa</f>
        <v>1.7181778538945773</v>
      </c>
    </row>
    <row r="65" spans="5:6" x14ac:dyDescent="0.3">
      <c r="E65" s="3">
        <f t="shared" si="0"/>
        <v>1.5773863479291639</v>
      </c>
      <c r="F65" s="15">
        <f>p_2_si*(v_spec_3/E65)^K/bar_to_Pa</f>
        <v>1.6903074494526238</v>
      </c>
    </row>
    <row r="66" spans="5:6" x14ac:dyDescent="0.3">
      <c r="E66" s="3">
        <f t="shared" si="0"/>
        <v>1.5956580498486932</v>
      </c>
      <c r="F66" s="15">
        <f>p_2_si*(v_spec_3/E66)^K/bar_to_Pa</f>
        <v>1.6632023617813789</v>
      </c>
    </row>
    <row r="67" spans="5:6" x14ac:dyDescent="0.3">
      <c r="E67" s="3">
        <f t="shared" si="0"/>
        <v>1.6139297517682225</v>
      </c>
      <c r="F67" s="15">
        <f>p_2_si*(v_spec_3/E67)^K/bar_to_Pa</f>
        <v>1.6368331684469508</v>
      </c>
    </row>
    <row r="68" spans="5:6" x14ac:dyDescent="0.3">
      <c r="E68" s="3">
        <f t="shared" si="0"/>
        <v>1.6322014536877518</v>
      </c>
      <c r="F68" s="15">
        <f>p_2_si*(v_spec_3/E68)^K/bar_to_Pa</f>
        <v>1.6111718941357112</v>
      </c>
    </row>
    <row r="69" spans="5:6" x14ac:dyDescent="0.3">
      <c r="E69" s="3">
        <f t="shared" ref="E69:E102" si="1">E68+($E$103-$E$3)/100</f>
        <v>1.6504731556072811</v>
      </c>
      <c r="F69" s="15">
        <f>p_2_si*(v_spec_3/E69)^K/bar_to_Pa</f>
        <v>1.5861919242809213</v>
      </c>
    </row>
    <row r="70" spans="5:6" x14ac:dyDescent="0.3">
      <c r="E70" s="3">
        <f t="shared" si="1"/>
        <v>1.6687448575268105</v>
      </c>
      <c r="F70" s="15">
        <f>p_2_si*(v_spec_3/E70)^K/bar_to_Pa</f>
        <v>1.5618679247319549</v>
      </c>
    </row>
    <row r="71" spans="5:6" x14ac:dyDescent="0.3">
      <c r="E71" s="3">
        <f t="shared" si="1"/>
        <v>1.6870165594463398</v>
      </c>
      <c r="F71" s="15">
        <f>p_2_si*(v_spec_3/E71)^K/bar_to_Pa</f>
        <v>1.5381757669826388</v>
      </c>
    </row>
    <row r="72" spans="5:6" x14ac:dyDescent="0.3">
      <c r="E72" s="3">
        <f t="shared" si="1"/>
        <v>1.7052882613658691</v>
      </c>
      <c r="F72" s="15">
        <f>p_2_si*(v_spec_3/E72)^K/bar_to_Pa</f>
        <v>1.5150924585187036</v>
      </c>
    </row>
    <row r="73" spans="5:6" x14ac:dyDescent="0.3">
      <c r="E73" s="3">
        <f t="shared" si="1"/>
        <v>1.7235599632853984</v>
      </c>
      <c r="F73" s="15">
        <f>p_2_si*(v_spec_3/E73)^K/bar_to_Pa</f>
        <v>1.4925960778834213</v>
      </c>
    </row>
    <row r="74" spans="5:6" x14ac:dyDescent="0.3">
      <c r="E74" s="3">
        <f t="shared" si="1"/>
        <v>1.7418316652049277</v>
      </c>
      <c r="F74" s="15">
        <f>p_2_si*(v_spec_3/E74)^K/bar_to_Pa</f>
        <v>1.4706657140957755</v>
      </c>
    </row>
    <row r="75" spans="5:6" x14ac:dyDescent="0.3">
      <c r="E75" s="3">
        <f t="shared" si="1"/>
        <v>1.760103367124457</v>
      </c>
      <c r="F75" s="15">
        <f>p_2_si*(v_spec_3/E75)^K/bar_to_Pa</f>
        <v>1.4492814100873719</v>
      </c>
    </row>
    <row r="76" spans="5:6" x14ac:dyDescent="0.3">
      <c r="E76" s="3">
        <f t="shared" si="1"/>
        <v>1.7783750690439863</v>
      </c>
      <c r="F76" s="15">
        <f>p_2_si*(v_spec_3/E76)^K/bar_to_Pa</f>
        <v>1.428424109853015</v>
      </c>
    </row>
    <row r="77" spans="5:6" x14ac:dyDescent="0.3">
      <c r="E77" s="3">
        <f t="shared" si="1"/>
        <v>1.7966467709635157</v>
      </c>
      <c r="F77" s="15">
        <f>p_2_si*(v_spec_3/E77)^K/bar_to_Pa</f>
        <v>1.4080756090359248</v>
      </c>
    </row>
    <row r="78" spans="5:6" x14ac:dyDescent="0.3">
      <c r="E78" s="3">
        <f t="shared" si="1"/>
        <v>1.814918472883045</v>
      </c>
      <c r="F78" s="15">
        <f>p_2_si*(v_spec_3/E78)^K/bar_to_Pa</f>
        <v>1.3882185086921104</v>
      </c>
    </row>
    <row r="79" spans="5:6" x14ac:dyDescent="0.3">
      <c r="E79" s="3">
        <f t="shared" si="1"/>
        <v>1.8331901748025743</v>
      </c>
      <c r="F79" s="15">
        <f>p_2_si*(v_spec_3/E79)^K/bar_to_Pa</f>
        <v>1.3688361719997872</v>
      </c>
    </row>
    <row r="80" spans="5:6" x14ac:dyDescent="0.3">
      <c r="E80" s="3">
        <f t="shared" si="1"/>
        <v>1.8514618767221036</v>
      </c>
      <c r="F80" s="15">
        <f>p_2_si*(v_spec_3/E80)^K/bar_to_Pa</f>
        <v>1.3499126836990762</v>
      </c>
    </row>
    <row r="81" spans="5:6" x14ac:dyDescent="0.3">
      <c r="E81" s="3">
        <f t="shared" si="1"/>
        <v>1.8697335786416329</v>
      </c>
      <c r="F81" s="15">
        <f>p_2_si*(v_spec_3/E81)^K/bar_to_Pa</f>
        <v>1.3314328120648586</v>
      </c>
    </row>
    <row r="82" spans="5:6" x14ac:dyDescent="0.3">
      <c r="E82" s="3">
        <f t="shared" si="1"/>
        <v>1.8880052805611622</v>
      </c>
      <c r="F82" s="15">
        <f>p_2_si*(v_spec_3/E82)^K/bar_to_Pa</f>
        <v>1.3133819732316299</v>
      </c>
    </row>
    <row r="83" spans="5:6" x14ac:dyDescent="0.3">
      <c r="E83" s="3">
        <f t="shared" si="1"/>
        <v>1.9062769824806916</v>
      </c>
      <c r="F83" s="15">
        <f>p_2_si*(v_spec_3/E83)^K/bar_to_Pa</f>
        <v>1.2957461977037803</v>
      </c>
    </row>
    <row r="84" spans="5:6" x14ac:dyDescent="0.3">
      <c r="E84" s="3">
        <f t="shared" si="1"/>
        <v>1.9245486844002209</v>
      </c>
      <c r="F84" s="15">
        <f>p_2_si*(v_spec_3/E84)^K/bar_to_Pa</f>
        <v>1.2785120988979781</v>
      </c>
    </row>
    <row r="85" spans="5:6" x14ac:dyDescent="0.3">
      <c r="E85" s="3">
        <f t="shared" si="1"/>
        <v>1.9428203863197502</v>
      </c>
      <c r="F85" s="15">
        <f>p_2_si*(v_spec_3/E85)^K/bar_to_Pa</f>
        <v>1.2616668435764433</v>
      </c>
    </row>
    <row r="86" spans="5:6" x14ac:dyDescent="0.3">
      <c r="E86" s="3">
        <f t="shared" si="1"/>
        <v>1.9610920882392795</v>
      </c>
      <c r="F86" s="15">
        <f>p_2_si*(v_spec_3/E86)^K/bar_to_Pa</f>
        <v>1.2451981240409147</v>
      </c>
    </row>
    <row r="87" spans="5:6" x14ac:dyDescent="0.3">
      <c r="E87" s="3">
        <f t="shared" si="1"/>
        <v>1.9793637901588088</v>
      </c>
      <c r="F87" s="15">
        <f>p_2_si*(v_spec_3/E87)^K/bar_to_Pa</f>
        <v>1.2290941319672153</v>
      </c>
    </row>
    <row r="88" spans="5:6" x14ac:dyDescent="0.3">
      <c r="E88" s="3">
        <f t="shared" si="1"/>
        <v>1.9976354920783381</v>
      </c>
      <c r="F88" s="15">
        <f>p_2_si*(v_spec_3/E88)^K/bar_to_Pa</f>
        <v>1.2133435337695144</v>
      </c>
    </row>
    <row r="89" spans="5:6" x14ac:dyDescent="0.3">
      <c r="E89" s="3">
        <f t="shared" si="1"/>
        <v>2.0159071939978674</v>
      </c>
      <c r="F89" s="15">
        <f>p_2_si*(v_spec_3/E89)^K/bar_to_Pa</f>
        <v>1.1979354473918378</v>
      </c>
    </row>
    <row r="90" spans="5:6" x14ac:dyDescent="0.3">
      <c r="E90" s="3">
        <f t="shared" si="1"/>
        <v>2.0341788959173965</v>
      </c>
      <c r="F90" s="15">
        <f>p_2_si*(v_spec_3/E90)^K/bar_to_Pa</f>
        <v>1.1828594204320726</v>
      </c>
    </row>
    <row r="91" spans="5:6" x14ac:dyDescent="0.3">
      <c r="E91" s="3">
        <f t="shared" si="1"/>
        <v>2.0524505978369256</v>
      </c>
      <c r="F91" s="15">
        <f>p_2_si*(v_spec_3/E91)^K/bar_to_Pa</f>
        <v>1.1681054095108121</v>
      </c>
    </row>
    <row r="92" spans="5:6" x14ac:dyDescent="0.3">
      <c r="E92" s="3">
        <f t="shared" si="1"/>
        <v>2.0707222997564547</v>
      </c>
      <c r="F92" s="15">
        <f>p_2_si*(v_spec_3/E92)^K/bar_to_Pa</f>
        <v>1.1536637608038565</v>
      </c>
    </row>
    <row r="93" spans="5:6" x14ac:dyDescent="0.3">
      <c r="E93" s="3">
        <f t="shared" si="1"/>
        <v>2.0889940016759838</v>
      </c>
      <c r="F93" s="15">
        <f>p_2_si*(v_spec_3/E93)^K/bar_to_Pa</f>
        <v>1.1395251916631555</v>
      </c>
    </row>
    <row r="94" spans="5:6" x14ac:dyDescent="0.3">
      <c r="E94" s="3">
        <f t="shared" si="1"/>
        <v>2.1072657035955129</v>
      </c>
      <c r="F94" s="15">
        <f>p_2_si*(v_spec_3/E94)^K/bar_to_Pa</f>
        <v>1.1256807732564384</v>
      </c>
    </row>
    <row r="95" spans="5:6" x14ac:dyDescent="0.3">
      <c r="E95" s="3">
        <f t="shared" si="1"/>
        <v>2.125537405515042</v>
      </c>
      <c r="F95" s="15">
        <f>p_2_si*(v_spec_3/E95)^K/bar_to_Pa</f>
        <v>1.1121219141608103</v>
      </c>
    </row>
    <row r="96" spans="5:6" x14ac:dyDescent="0.3">
      <c r="E96" s="3">
        <f t="shared" si="1"/>
        <v>2.1438091074345711</v>
      </c>
      <c r="F96" s="15">
        <f>p_2_si*(v_spec_3/E96)^K/bar_to_Pa</f>
        <v>1.098840344850232</v>
      </c>
    </row>
    <row r="97" spans="5:6" x14ac:dyDescent="0.3">
      <c r="E97" s="3">
        <f t="shared" si="1"/>
        <v>2.1620808093541002</v>
      </c>
      <c r="F97" s="15">
        <f>p_2_si*(v_spec_3/E97)^K/bar_to_Pa</f>
        <v>1.0858281030210413</v>
      </c>
    </row>
    <row r="98" spans="5:6" x14ac:dyDescent="0.3">
      <c r="E98" s="3">
        <f t="shared" si="1"/>
        <v>2.1803525112736293</v>
      </c>
      <c r="F98" s="15">
        <f>p_2_si*(v_spec_3/E98)^K/bar_to_Pa</f>
        <v>1.0730775197036182</v>
      </c>
    </row>
    <row r="99" spans="5:6" x14ac:dyDescent="0.3">
      <c r="E99" s="3">
        <f t="shared" si="1"/>
        <v>2.1986242131931584</v>
      </c>
      <c r="F99" s="15">
        <f>p_2_si*(v_spec_3/E99)^K/bar_to_Pa</f>
        <v>1.0605812061118955</v>
      </c>
    </row>
    <row r="100" spans="5:6" x14ac:dyDescent="0.3">
      <c r="E100" s="3">
        <f t="shared" si="1"/>
        <v>2.2168959151126875</v>
      </c>
      <c r="F100" s="15">
        <f>p_2_si*(v_spec_3/E100)^K/bar_to_Pa</f>
        <v>1.0483320411857797</v>
      </c>
    </row>
    <row r="101" spans="5:6" x14ac:dyDescent="0.3">
      <c r="E101" s="3">
        <f t="shared" si="1"/>
        <v>2.2351676170322166</v>
      </c>
      <c r="F101" s="15">
        <f>p_2_si*(v_spec_3/E101)^K/bar_to_Pa</f>
        <v>1.0363231597846028</v>
      </c>
    </row>
    <row r="102" spans="5:6" x14ac:dyDescent="0.3">
      <c r="E102" s="3">
        <f t="shared" si="1"/>
        <v>2.2534393189517457</v>
      </c>
      <c r="F102" s="15">
        <f>p_2_si*(v_spec_3/E102)^K/bar_to_Pa</f>
        <v>1.0245479414925949</v>
      </c>
    </row>
    <row r="103" spans="5:6" x14ac:dyDescent="0.3">
      <c r="E103" s="3">
        <f>v_spec_4</f>
        <v>2.2717110208712703</v>
      </c>
      <c r="F103" s="15">
        <f>p_2_si*(v_spec_3/E103)^K/bar_to_Pa</f>
        <v>1.0130000000000003</v>
      </c>
    </row>
  </sheetData>
  <sheetProtection algorithmName="SHA-512" hashValue="sufu3769i+55pAGsMQS/c3v8ZTNntcZNpYw+S91/QVyYR1+Xfky7utWtnBdO+kCDfEqT3EBvIVfVKTHDcqhOJA==" saltValue="etcTsOjOZ4acv80pBQstkw==" spinCount="100000" sheet="1" objects="1" scenarios="1" formatCells="0" formatColumns="0" formatRows="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75" workbookViewId="0">
      <selection activeCell="F3" sqref="F3:F103"/>
    </sheetView>
  </sheetViews>
  <sheetFormatPr defaultRowHeight="14.4" x14ac:dyDescent="0.3"/>
  <cols>
    <col min="1" max="1" width="37.5546875" bestFit="1" customWidth="1"/>
    <col min="2" max="2" width="9.109375" bestFit="1" customWidth="1"/>
    <col min="3" max="3" width="8.33203125" bestFit="1" customWidth="1"/>
    <col min="5" max="5" width="21.88671875" bestFit="1" customWidth="1"/>
    <col min="6" max="6" width="10.88671875" bestFit="1" customWidth="1"/>
  </cols>
  <sheetData>
    <row r="1" spans="1:6" s="1" customFormat="1" x14ac:dyDescent="0.3">
      <c r="A1" s="1" t="s">
        <v>36</v>
      </c>
      <c r="B1" s="1" t="s">
        <v>19</v>
      </c>
      <c r="C1" s="1" t="s">
        <v>20</v>
      </c>
      <c r="E1" s="1" t="s">
        <v>5</v>
      </c>
    </row>
    <row r="2" spans="1:6" x14ac:dyDescent="0.3">
      <c r="A2" t="s">
        <v>37</v>
      </c>
      <c r="B2" s="18">
        <f>Rs*(T_1_si-T_4)*to_kilo</f>
        <v>-146.84897641425965</v>
      </c>
      <c r="C2" t="s">
        <v>21</v>
      </c>
      <c r="E2" t="s">
        <v>27</v>
      </c>
      <c r="F2" t="s">
        <v>6</v>
      </c>
    </row>
    <row r="3" spans="1:6" x14ac:dyDescent="0.3">
      <c r="A3" t="s">
        <v>40</v>
      </c>
      <c r="B3" s="18">
        <f>c_p*(T_1_si-T_4)*to_kilo</f>
        <v>-510.66858580045312</v>
      </c>
      <c r="C3" t="s">
        <v>21</v>
      </c>
      <c r="E3" s="3">
        <f>v_spec_4</f>
        <v>2.2717110208712703</v>
      </c>
      <c r="F3" s="15">
        <f>p_atm_si/bar_to_Pa</f>
        <v>1.0129999999999999</v>
      </c>
    </row>
    <row r="4" spans="1:6" x14ac:dyDescent="0.3">
      <c r="E4" s="3">
        <f>E3+($E$103-$E$3)/100</f>
        <v>2.2572145770001688</v>
      </c>
      <c r="F4" s="15">
        <f>p_atm_si/bar_to_Pa</f>
        <v>1.0129999999999999</v>
      </c>
    </row>
    <row r="5" spans="1:6" x14ac:dyDescent="0.3">
      <c r="A5" s="1" t="s">
        <v>28</v>
      </c>
      <c r="E5" s="3">
        <f t="shared" ref="E5:E68" si="0">E4+($E$103-$E$3)/100</f>
        <v>2.2427181331290673</v>
      </c>
      <c r="F5" s="15">
        <f>p_atm_si/bar_to_Pa</f>
        <v>1.0129999999999999</v>
      </c>
    </row>
    <row r="6" spans="1:6" x14ac:dyDescent="0.3">
      <c r="A6" s="21"/>
      <c r="B6" s="22"/>
      <c r="C6" s="23"/>
      <c r="E6" s="3">
        <f t="shared" si="0"/>
        <v>2.2282216892579658</v>
      </c>
      <c r="F6" s="15">
        <f>p_atm_si/bar_to_Pa</f>
        <v>1.0129999999999999</v>
      </c>
    </row>
    <row r="7" spans="1:6" x14ac:dyDescent="0.3">
      <c r="A7" s="24"/>
      <c r="B7" s="20"/>
      <c r="C7" s="25"/>
      <c r="E7" s="3">
        <f t="shared" si="0"/>
        <v>2.2137252453868643</v>
      </c>
      <c r="F7" s="15">
        <f>p_atm_si/bar_to_Pa</f>
        <v>1.0129999999999999</v>
      </c>
    </row>
    <row r="8" spans="1:6" x14ac:dyDescent="0.3">
      <c r="A8" s="24"/>
      <c r="B8" s="20"/>
      <c r="C8" s="25"/>
      <c r="E8" s="3">
        <f t="shared" si="0"/>
        <v>2.1992288015157628</v>
      </c>
      <c r="F8" s="15">
        <f>p_atm_si/bar_to_Pa</f>
        <v>1.0129999999999999</v>
      </c>
    </row>
    <row r="9" spans="1:6" x14ac:dyDescent="0.3">
      <c r="A9" s="24"/>
      <c r="B9" s="20"/>
      <c r="C9" s="25"/>
      <c r="E9" s="3">
        <f t="shared" si="0"/>
        <v>2.1847323576446613</v>
      </c>
      <c r="F9" s="15">
        <f>p_atm_si/bar_to_Pa</f>
        <v>1.0129999999999999</v>
      </c>
    </row>
    <row r="10" spans="1:6" x14ac:dyDescent="0.3">
      <c r="A10" s="24"/>
      <c r="B10" s="20"/>
      <c r="C10" s="25"/>
      <c r="E10" s="3">
        <f t="shared" si="0"/>
        <v>2.1702359137735598</v>
      </c>
      <c r="F10" s="15">
        <f>p_atm_si/bar_to_Pa</f>
        <v>1.0129999999999999</v>
      </c>
    </row>
    <row r="11" spans="1:6" x14ac:dyDescent="0.3">
      <c r="A11" s="24"/>
      <c r="B11" s="20"/>
      <c r="C11" s="25"/>
      <c r="E11" s="3">
        <f t="shared" si="0"/>
        <v>2.1557394699024583</v>
      </c>
      <c r="F11" s="15">
        <f>p_atm_si/bar_to_Pa</f>
        <v>1.0129999999999999</v>
      </c>
    </row>
    <row r="12" spans="1:6" x14ac:dyDescent="0.3">
      <c r="A12" s="24"/>
      <c r="B12" s="20"/>
      <c r="C12" s="25"/>
      <c r="E12" s="3">
        <f t="shared" si="0"/>
        <v>2.1412430260313569</v>
      </c>
      <c r="F12" s="15">
        <f>p_atm_si/bar_to_Pa</f>
        <v>1.0129999999999999</v>
      </c>
    </row>
    <row r="13" spans="1:6" x14ac:dyDescent="0.3">
      <c r="A13" s="24"/>
      <c r="B13" s="20"/>
      <c r="C13" s="25"/>
      <c r="E13" s="3">
        <f t="shared" si="0"/>
        <v>2.1267465821602554</v>
      </c>
      <c r="F13" s="15">
        <f>p_atm_si/bar_to_Pa</f>
        <v>1.0129999999999999</v>
      </c>
    </row>
    <row r="14" spans="1:6" x14ac:dyDescent="0.3">
      <c r="A14" s="24"/>
      <c r="B14" s="20"/>
      <c r="C14" s="25"/>
      <c r="E14" s="3">
        <f t="shared" si="0"/>
        <v>2.1122501382891539</v>
      </c>
      <c r="F14" s="15">
        <f>p_atm_si/bar_to_Pa</f>
        <v>1.0129999999999999</v>
      </c>
    </row>
    <row r="15" spans="1:6" x14ac:dyDescent="0.3">
      <c r="A15" s="24"/>
      <c r="B15" s="20"/>
      <c r="C15" s="25"/>
      <c r="E15" s="3">
        <f t="shared" si="0"/>
        <v>2.0977536944180524</v>
      </c>
      <c r="F15" s="15">
        <f>p_atm_si/bar_to_Pa</f>
        <v>1.0129999999999999</v>
      </c>
    </row>
    <row r="16" spans="1:6" x14ac:dyDescent="0.3">
      <c r="A16" s="24"/>
      <c r="B16" s="20"/>
      <c r="C16" s="25"/>
      <c r="E16" s="3">
        <f t="shared" si="0"/>
        <v>2.0832572505469509</v>
      </c>
      <c r="F16" s="15">
        <f>p_atm_si/bar_to_Pa</f>
        <v>1.0129999999999999</v>
      </c>
    </row>
    <row r="17" spans="1:6" x14ac:dyDescent="0.3">
      <c r="A17" s="24"/>
      <c r="B17" s="20"/>
      <c r="C17" s="25"/>
      <c r="E17" s="3">
        <f t="shared" si="0"/>
        <v>2.0687608066758494</v>
      </c>
      <c r="F17" s="15">
        <f>p_atm_si/bar_to_Pa</f>
        <v>1.0129999999999999</v>
      </c>
    </row>
    <row r="18" spans="1:6" x14ac:dyDescent="0.3">
      <c r="A18" s="24"/>
      <c r="B18" s="20"/>
      <c r="C18" s="25"/>
      <c r="E18" s="3">
        <f t="shared" si="0"/>
        <v>2.0542643628047479</v>
      </c>
      <c r="F18" s="15">
        <f>p_atm_si/bar_to_Pa</f>
        <v>1.0129999999999999</v>
      </c>
    </row>
    <row r="19" spans="1:6" x14ac:dyDescent="0.3">
      <c r="A19" s="24"/>
      <c r="B19" s="20"/>
      <c r="C19" s="25"/>
      <c r="E19" s="3">
        <f t="shared" si="0"/>
        <v>2.0397679189336464</v>
      </c>
      <c r="F19" s="15">
        <f>p_atm_si/bar_to_Pa</f>
        <v>1.0129999999999999</v>
      </c>
    </row>
    <row r="20" spans="1:6" x14ac:dyDescent="0.3">
      <c r="A20" s="24"/>
      <c r="B20" s="20"/>
      <c r="C20" s="25"/>
      <c r="E20" s="3">
        <f t="shared" si="0"/>
        <v>2.0252714750625449</v>
      </c>
      <c r="F20" s="15">
        <f>p_atm_si/bar_to_Pa</f>
        <v>1.0129999999999999</v>
      </c>
    </row>
    <row r="21" spans="1:6" x14ac:dyDescent="0.3">
      <c r="A21" s="24"/>
      <c r="B21" s="20"/>
      <c r="C21" s="25"/>
      <c r="E21" s="3">
        <f t="shared" si="0"/>
        <v>2.0107750311914434</v>
      </c>
      <c r="F21" s="15">
        <f>p_atm_si/bar_to_Pa</f>
        <v>1.0129999999999999</v>
      </c>
    </row>
    <row r="22" spans="1:6" x14ac:dyDescent="0.3">
      <c r="A22" s="24"/>
      <c r="B22" s="20"/>
      <c r="C22" s="25"/>
      <c r="E22" s="3">
        <f t="shared" si="0"/>
        <v>1.9962785873203417</v>
      </c>
      <c r="F22" s="15">
        <f>p_atm_si/bar_to_Pa</f>
        <v>1.0129999999999999</v>
      </c>
    </row>
    <row r="23" spans="1:6" x14ac:dyDescent="0.3">
      <c r="A23" s="24"/>
      <c r="B23" s="20"/>
      <c r="C23" s="25"/>
      <c r="E23" s="3">
        <f t="shared" si="0"/>
        <v>1.98178214344924</v>
      </c>
      <c r="F23" s="15">
        <f>p_atm_si/bar_to_Pa</f>
        <v>1.0129999999999999</v>
      </c>
    </row>
    <row r="24" spans="1:6" x14ac:dyDescent="0.3">
      <c r="A24" s="24"/>
      <c r="B24" s="20"/>
      <c r="C24" s="25"/>
      <c r="E24" s="3">
        <f t="shared" si="0"/>
        <v>1.9672856995781383</v>
      </c>
      <c r="F24" s="15">
        <f>p_atm_si/bar_to_Pa</f>
        <v>1.0129999999999999</v>
      </c>
    </row>
    <row r="25" spans="1:6" x14ac:dyDescent="0.3">
      <c r="A25" s="24"/>
      <c r="B25" s="20"/>
      <c r="C25" s="25"/>
      <c r="E25" s="3">
        <f t="shared" si="0"/>
        <v>1.9527892557070365</v>
      </c>
      <c r="F25" s="15">
        <f>p_atm_si/bar_to_Pa</f>
        <v>1.0129999999999999</v>
      </c>
    </row>
    <row r="26" spans="1:6" x14ac:dyDescent="0.3">
      <c r="A26" s="24"/>
      <c r="B26" s="20"/>
      <c r="C26" s="25"/>
      <c r="E26" s="3">
        <f t="shared" si="0"/>
        <v>1.9382928118359348</v>
      </c>
      <c r="F26" s="15">
        <f>p_atm_si/bar_to_Pa</f>
        <v>1.0129999999999999</v>
      </c>
    </row>
    <row r="27" spans="1:6" x14ac:dyDescent="0.3">
      <c r="A27" s="24"/>
      <c r="B27" s="20"/>
      <c r="C27" s="25"/>
      <c r="E27" s="3">
        <f t="shared" si="0"/>
        <v>1.9237963679648331</v>
      </c>
      <c r="F27" s="15">
        <f>p_atm_si/bar_to_Pa</f>
        <v>1.0129999999999999</v>
      </c>
    </row>
    <row r="28" spans="1:6" x14ac:dyDescent="0.3">
      <c r="A28" s="24"/>
      <c r="B28" s="20"/>
      <c r="C28" s="25"/>
      <c r="E28" s="3">
        <f t="shared" si="0"/>
        <v>1.9092999240937314</v>
      </c>
      <c r="F28" s="15">
        <f>p_atm_si/bar_to_Pa</f>
        <v>1.0129999999999999</v>
      </c>
    </row>
    <row r="29" spans="1:6" x14ac:dyDescent="0.3">
      <c r="A29" s="24"/>
      <c r="B29" s="20"/>
      <c r="C29" s="25"/>
      <c r="E29" s="3">
        <f t="shared" si="0"/>
        <v>1.8948034802226297</v>
      </c>
      <c r="F29" s="15">
        <f>p_atm_si/bar_to_Pa</f>
        <v>1.0129999999999999</v>
      </c>
    </row>
    <row r="30" spans="1:6" x14ac:dyDescent="0.3">
      <c r="A30" s="24"/>
      <c r="B30" s="20"/>
      <c r="C30" s="25"/>
      <c r="E30" s="3">
        <f t="shared" si="0"/>
        <v>1.880307036351528</v>
      </c>
      <c r="F30" s="15">
        <f>p_atm_si/bar_to_Pa</f>
        <v>1.0129999999999999</v>
      </c>
    </row>
    <row r="31" spans="1:6" x14ac:dyDescent="0.3">
      <c r="A31" s="24"/>
      <c r="B31" s="20"/>
      <c r="C31" s="25"/>
      <c r="E31" s="3">
        <f t="shared" si="0"/>
        <v>1.8658105924804262</v>
      </c>
      <c r="F31" s="15">
        <f>p_atm_si/bar_to_Pa</f>
        <v>1.0129999999999999</v>
      </c>
    </row>
    <row r="32" spans="1:6" x14ac:dyDescent="0.3">
      <c r="A32" s="24"/>
      <c r="B32" s="20"/>
      <c r="C32" s="25"/>
      <c r="E32" s="3">
        <f t="shared" si="0"/>
        <v>1.8513141486093245</v>
      </c>
      <c r="F32" s="15">
        <f>p_atm_si/bar_to_Pa</f>
        <v>1.0129999999999999</v>
      </c>
    </row>
    <row r="33" spans="1:6" x14ac:dyDescent="0.3">
      <c r="A33" s="24"/>
      <c r="B33" s="20"/>
      <c r="C33" s="25"/>
      <c r="E33" s="3">
        <f t="shared" si="0"/>
        <v>1.8368177047382228</v>
      </c>
      <c r="F33" s="15">
        <f>p_atm_si/bar_to_Pa</f>
        <v>1.0129999999999999</v>
      </c>
    </row>
    <row r="34" spans="1:6" x14ac:dyDescent="0.3">
      <c r="A34" s="24"/>
      <c r="B34" s="20"/>
      <c r="C34" s="25"/>
      <c r="E34" s="3">
        <f t="shared" si="0"/>
        <v>1.8223212608671211</v>
      </c>
      <c r="F34" s="15">
        <f>p_atm_si/bar_to_Pa</f>
        <v>1.0129999999999999</v>
      </c>
    </row>
    <row r="35" spans="1:6" x14ac:dyDescent="0.3">
      <c r="A35" s="24"/>
      <c r="B35" s="20"/>
      <c r="C35" s="25"/>
      <c r="E35" s="3">
        <f t="shared" si="0"/>
        <v>1.8078248169960194</v>
      </c>
      <c r="F35" s="15">
        <f>p_atm_si/bar_to_Pa</f>
        <v>1.0129999999999999</v>
      </c>
    </row>
    <row r="36" spans="1:6" x14ac:dyDescent="0.3">
      <c r="A36" s="24"/>
      <c r="B36" s="20"/>
      <c r="C36" s="25"/>
      <c r="E36" s="3">
        <f t="shared" si="0"/>
        <v>1.7933283731249177</v>
      </c>
      <c r="F36" s="15">
        <f>p_atm_si/bar_to_Pa</f>
        <v>1.0129999999999999</v>
      </c>
    </row>
    <row r="37" spans="1:6" x14ac:dyDescent="0.3">
      <c r="A37" s="24"/>
      <c r="B37" s="20"/>
      <c r="C37" s="25"/>
      <c r="E37" s="3">
        <f t="shared" si="0"/>
        <v>1.7788319292538159</v>
      </c>
      <c r="F37" s="15">
        <f>p_atm_si/bar_to_Pa</f>
        <v>1.0129999999999999</v>
      </c>
    </row>
    <row r="38" spans="1:6" x14ac:dyDescent="0.3">
      <c r="A38" s="24"/>
      <c r="B38" s="20"/>
      <c r="C38" s="25"/>
      <c r="E38" s="3">
        <f t="shared" si="0"/>
        <v>1.7643354853827142</v>
      </c>
      <c r="F38" s="15">
        <f>p_atm_si/bar_to_Pa</f>
        <v>1.0129999999999999</v>
      </c>
    </row>
    <row r="39" spans="1:6" x14ac:dyDescent="0.3">
      <c r="A39" s="24"/>
      <c r="B39" s="20"/>
      <c r="C39" s="25"/>
      <c r="E39" s="3">
        <f t="shared" si="0"/>
        <v>1.7498390415116125</v>
      </c>
      <c r="F39" s="15">
        <f>p_atm_si/bar_to_Pa</f>
        <v>1.0129999999999999</v>
      </c>
    </row>
    <row r="40" spans="1:6" x14ac:dyDescent="0.3">
      <c r="A40" s="24"/>
      <c r="B40" s="20"/>
      <c r="C40" s="25"/>
      <c r="E40" s="3">
        <f t="shared" si="0"/>
        <v>1.7353425976405108</v>
      </c>
      <c r="F40" s="15">
        <f>p_atm_si/bar_to_Pa</f>
        <v>1.0129999999999999</v>
      </c>
    </row>
    <row r="41" spans="1:6" x14ac:dyDescent="0.3">
      <c r="A41" s="24"/>
      <c r="B41" s="20"/>
      <c r="C41" s="25"/>
      <c r="E41" s="3">
        <f t="shared" si="0"/>
        <v>1.7208461537694091</v>
      </c>
      <c r="F41" s="15">
        <f>p_atm_si/bar_to_Pa</f>
        <v>1.0129999999999999</v>
      </c>
    </row>
    <row r="42" spans="1:6" x14ac:dyDescent="0.3">
      <c r="A42" s="24"/>
      <c r="B42" s="20"/>
      <c r="C42" s="25"/>
      <c r="E42" s="3">
        <f t="shared" si="0"/>
        <v>1.7063497098983074</v>
      </c>
      <c r="F42" s="15">
        <f>p_atm_si/bar_to_Pa</f>
        <v>1.0129999999999999</v>
      </c>
    </row>
    <row r="43" spans="1:6" x14ac:dyDescent="0.3">
      <c r="A43" s="24"/>
      <c r="B43" s="20"/>
      <c r="C43" s="25"/>
      <c r="E43" s="3">
        <f t="shared" si="0"/>
        <v>1.6918532660272056</v>
      </c>
      <c r="F43" s="15">
        <f>p_atm_si/bar_to_Pa</f>
        <v>1.0129999999999999</v>
      </c>
    </row>
    <row r="44" spans="1:6" x14ac:dyDescent="0.3">
      <c r="A44" s="24"/>
      <c r="B44" s="20"/>
      <c r="C44" s="25"/>
      <c r="E44" s="3">
        <f t="shared" si="0"/>
        <v>1.6773568221561039</v>
      </c>
      <c r="F44" s="15">
        <f>p_atm_si/bar_to_Pa</f>
        <v>1.0129999999999999</v>
      </c>
    </row>
    <row r="45" spans="1:6" x14ac:dyDescent="0.3">
      <c r="A45" s="24"/>
      <c r="B45" s="20"/>
      <c r="C45" s="25"/>
      <c r="E45" s="3">
        <f t="shared" si="0"/>
        <v>1.6628603782850022</v>
      </c>
      <c r="F45" s="15">
        <f>p_atm_si/bar_to_Pa</f>
        <v>1.0129999999999999</v>
      </c>
    </row>
    <row r="46" spans="1:6" x14ac:dyDescent="0.3">
      <c r="A46" s="24"/>
      <c r="B46" s="20"/>
      <c r="C46" s="25"/>
      <c r="E46" s="3">
        <f t="shared" si="0"/>
        <v>1.6483639344139005</v>
      </c>
      <c r="F46" s="15">
        <f>p_atm_si/bar_to_Pa</f>
        <v>1.0129999999999999</v>
      </c>
    </row>
    <row r="47" spans="1:6" x14ac:dyDescent="0.3">
      <c r="A47" s="24"/>
      <c r="B47" s="20"/>
      <c r="C47" s="25"/>
      <c r="E47" s="3">
        <f t="shared" si="0"/>
        <v>1.6338674905427988</v>
      </c>
      <c r="F47" s="15">
        <f>p_atm_si/bar_to_Pa</f>
        <v>1.0129999999999999</v>
      </c>
    </row>
    <row r="48" spans="1:6" x14ac:dyDescent="0.3">
      <c r="A48" s="24"/>
      <c r="B48" s="20"/>
      <c r="C48" s="25"/>
      <c r="E48" s="3">
        <f t="shared" si="0"/>
        <v>1.6193710466716971</v>
      </c>
      <c r="F48" s="15">
        <f>p_atm_si/bar_to_Pa</f>
        <v>1.0129999999999999</v>
      </c>
    </row>
    <row r="49" spans="1:6" x14ac:dyDescent="0.3">
      <c r="A49" s="24"/>
      <c r="B49" s="20"/>
      <c r="C49" s="25"/>
      <c r="E49" s="3">
        <f t="shared" si="0"/>
        <v>1.6048746028005954</v>
      </c>
      <c r="F49" s="15">
        <f>p_atm_si/bar_to_Pa</f>
        <v>1.0129999999999999</v>
      </c>
    </row>
    <row r="50" spans="1:6" x14ac:dyDescent="0.3">
      <c r="A50" s="26"/>
      <c r="B50" s="27"/>
      <c r="C50" s="28"/>
      <c r="E50" s="3">
        <f t="shared" si="0"/>
        <v>1.5903781589294936</v>
      </c>
      <c r="F50" s="15">
        <f>p_atm_si/bar_to_Pa</f>
        <v>1.0129999999999999</v>
      </c>
    </row>
    <row r="51" spans="1:6" x14ac:dyDescent="0.3">
      <c r="E51" s="3">
        <f t="shared" si="0"/>
        <v>1.5758817150583919</v>
      </c>
      <c r="F51" s="15">
        <f>p_atm_si/bar_to_Pa</f>
        <v>1.0129999999999999</v>
      </c>
    </row>
    <row r="52" spans="1:6" x14ac:dyDescent="0.3">
      <c r="E52" s="3">
        <f t="shared" si="0"/>
        <v>1.5613852711872902</v>
      </c>
      <c r="F52" s="15">
        <f>p_atm_si/bar_to_Pa</f>
        <v>1.0129999999999999</v>
      </c>
    </row>
    <row r="53" spans="1:6" x14ac:dyDescent="0.3">
      <c r="E53" s="3">
        <f t="shared" si="0"/>
        <v>1.5468888273161885</v>
      </c>
      <c r="F53" s="15">
        <f>p_atm_si/bar_to_Pa</f>
        <v>1.0129999999999999</v>
      </c>
    </row>
    <row r="54" spans="1:6" x14ac:dyDescent="0.3">
      <c r="E54" s="3">
        <f t="shared" si="0"/>
        <v>1.5323923834450868</v>
      </c>
      <c r="F54" s="15">
        <f>p_atm_si/bar_to_Pa</f>
        <v>1.0129999999999999</v>
      </c>
    </row>
    <row r="55" spans="1:6" x14ac:dyDescent="0.3">
      <c r="E55" s="3">
        <f t="shared" si="0"/>
        <v>1.5178959395739851</v>
      </c>
      <c r="F55" s="15">
        <f>p_atm_si/bar_to_Pa</f>
        <v>1.0129999999999999</v>
      </c>
    </row>
    <row r="56" spans="1:6" x14ac:dyDescent="0.3">
      <c r="E56" s="3">
        <f t="shared" si="0"/>
        <v>1.5033994957028833</v>
      </c>
      <c r="F56" s="15">
        <f>p_atm_si/bar_to_Pa</f>
        <v>1.0129999999999999</v>
      </c>
    </row>
    <row r="57" spans="1:6" x14ac:dyDescent="0.3">
      <c r="E57" s="3">
        <f t="shared" si="0"/>
        <v>1.4889030518317816</v>
      </c>
      <c r="F57" s="15">
        <f>p_atm_si/bar_to_Pa</f>
        <v>1.0129999999999999</v>
      </c>
    </row>
    <row r="58" spans="1:6" x14ac:dyDescent="0.3">
      <c r="E58" s="3">
        <f t="shared" si="0"/>
        <v>1.4744066079606799</v>
      </c>
      <c r="F58" s="15">
        <f>p_atm_si/bar_to_Pa</f>
        <v>1.0129999999999999</v>
      </c>
    </row>
    <row r="59" spans="1:6" x14ac:dyDescent="0.3">
      <c r="E59" s="3">
        <f t="shared" si="0"/>
        <v>1.4599101640895782</v>
      </c>
      <c r="F59" s="15">
        <f>p_atm_si/bar_to_Pa</f>
        <v>1.0129999999999999</v>
      </c>
    </row>
    <row r="60" spans="1:6" x14ac:dyDescent="0.3">
      <c r="E60" s="3">
        <f t="shared" si="0"/>
        <v>1.4454137202184765</v>
      </c>
      <c r="F60" s="15">
        <f>p_atm_si/bar_to_Pa</f>
        <v>1.0129999999999999</v>
      </c>
    </row>
    <row r="61" spans="1:6" x14ac:dyDescent="0.3">
      <c r="E61" s="3">
        <f t="shared" si="0"/>
        <v>1.4309172763473748</v>
      </c>
      <c r="F61" s="15">
        <f>p_atm_si/bar_to_Pa</f>
        <v>1.0129999999999999</v>
      </c>
    </row>
    <row r="62" spans="1:6" x14ac:dyDescent="0.3">
      <c r="E62" s="3">
        <f t="shared" si="0"/>
        <v>1.416420832476273</v>
      </c>
      <c r="F62" s="15">
        <f>p_atm_si/bar_to_Pa</f>
        <v>1.0129999999999999</v>
      </c>
    </row>
    <row r="63" spans="1:6" x14ac:dyDescent="0.3">
      <c r="E63" s="3">
        <f t="shared" si="0"/>
        <v>1.4019243886051713</v>
      </c>
      <c r="F63" s="15">
        <f>p_atm_si/bar_to_Pa</f>
        <v>1.0129999999999999</v>
      </c>
    </row>
    <row r="64" spans="1:6" x14ac:dyDescent="0.3">
      <c r="E64" s="3">
        <f t="shared" si="0"/>
        <v>1.3874279447340696</v>
      </c>
      <c r="F64" s="15">
        <f>p_atm_si/bar_to_Pa</f>
        <v>1.0129999999999999</v>
      </c>
    </row>
    <row r="65" spans="5:6" x14ac:dyDescent="0.3">
      <c r="E65" s="3">
        <f t="shared" si="0"/>
        <v>1.3729315008629679</v>
      </c>
      <c r="F65" s="15">
        <f>p_atm_si/bar_to_Pa</f>
        <v>1.0129999999999999</v>
      </c>
    </row>
    <row r="66" spans="5:6" x14ac:dyDescent="0.3">
      <c r="E66" s="3">
        <f t="shared" si="0"/>
        <v>1.3584350569918662</v>
      </c>
      <c r="F66" s="15">
        <f>p_atm_si/bar_to_Pa</f>
        <v>1.0129999999999999</v>
      </c>
    </row>
    <row r="67" spans="5:6" x14ac:dyDescent="0.3">
      <c r="E67" s="3">
        <f t="shared" si="0"/>
        <v>1.3439386131207645</v>
      </c>
      <c r="F67" s="15">
        <f>p_atm_si/bar_to_Pa</f>
        <v>1.0129999999999999</v>
      </c>
    </row>
    <row r="68" spans="5:6" x14ac:dyDescent="0.3">
      <c r="E68" s="3">
        <f t="shared" si="0"/>
        <v>1.3294421692496627</v>
      </c>
      <c r="F68" s="15">
        <f>p_atm_si/bar_to_Pa</f>
        <v>1.0129999999999999</v>
      </c>
    </row>
    <row r="69" spans="5:6" x14ac:dyDescent="0.3">
      <c r="E69" s="3">
        <f t="shared" ref="E69:E102" si="1">E68+($E$103-$E$3)/100</f>
        <v>1.314945725378561</v>
      </c>
      <c r="F69" s="15">
        <f>p_atm_si/bar_to_Pa</f>
        <v>1.0129999999999999</v>
      </c>
    </row>
    <row r="70" spans="5:6" x14ac:dyDescent="0.3">
      <c r="E70" s="3">
        <f t="shared" si="1"/>
        <v>1.3004492815074593</v>
      </c>
      <c r="F70" s="15">
        <f>p_atm_si/bar_to_Pa</f>
        <v>1.0129999999999999</v>
      </c>
    </row>
    <row r="71" spans="5:6" x14ac:dyDescent="0.3">
      <c r="E71" s="3">
        <f t="shared" si="1"/>
        <v>1.2859528376363576</v>
      </c>
      <c r="F71" s="15">
        <f>p_atm_si/bar_to_Pa</f>
        <v>1.0129999999999999</v>
      </c>
    </row>
    <row r="72" spans="5:6" x14ac:dyDescent="0.3">
      <c r="E72" s="3">
        <f t="shared" si="1"/>
        <v>1.2714563937652559</v>
      </c>
      <c r="F72" s="15">
        <f>p_atm_si/bar_to_Pa</f>
        <v>1.0129999999999999</v>
      </c>
    </row>
    <row r="73" spans="5:6" x14ac:dyDescent="0.3">
      <c r="E73" s="3">
        <f t="shared" si="1"/>
        <v>1.2569599498941542</v>
      </c>
      <c r="F73" s="15">
        <f>p_atm_si/bar_to_Pa</f>
        <v>1.0129999999999999</v>
      </c>
    </row>
    <row r="74" spans="5:6" x14ac:dyDescent="0.3">
      <c r="E74" s="3">
        <f t="shared" si="1"/>
        <v>1.2424635060230524</v>
      </c>
      <c r="F74" s="15">
        <f>p_atm_si/bar_to_Pa</f>
        <v>1.0129999999999999</v>
      </c>
    </row>
    <row r="75" spans="5:6" x14ac:dyDescent="0.3">
      <c r="E75" s="3">
        <f t="shared" si="1"/>
        <v>1.2279670621519507</v>
      </c>
      <c r="F75" s="15">
        <f>p_atm_si/bar_to_Pa</f>
        <v>1.0129999999999999</v>
      </c>
    </row>
    <row r="76" spans="5:6" x14ac:dyDescent="0.3">
      <c r="E76" s="3">
        <f t="shared" si="1"/>
        <v>1.213470618280849</v>
      </c>
      <c r="F76" s="15">
        <f>p_atm_si/bar_to_Pa</f>
        <v>1.0129999999999999</v>
      </c>
    </row>
    <row r="77" spans="5:6" x14ac:dyDescent="0.3">
      <c r="E77" s="3">
        <f t="shared" si="1"/>
        <v>1.1989741744097473</v>
      </c>
      <c r="F77" s="15">
        <f>p_atm_si/bar_to_Pa</f>
        <v>1.0129999999999999</v>
      </c>
    </row>
    <row r="78" spans="5:6" x14ac:dyDescent="0.3">
      <c r="E78" s="3">
        <f t="shared" si="1"/>
        <v>1.1844777305386456</v>
      </c>
      <c r="F78" s="15">
        <f>p_atm_si/bar_to_Pa</f>
        <v>1.0129999999999999</v>
      </c>
    </row>
    <row r="79" spans="5:6" x14ac:dyDescent="0.3">
      <c r="E79" s="3">
        <f t="shared" si="1"/>
        <v>1.1699812866675439</v>
      </c>
      <c r="F79" s="15">
        <f>p_atm_si/bar_to_Pa</f>
        <v>1.0129999999999999</v>
      </c>
    </row>
    <row r="80" spans="5:6" x14ac:dyDescent="0.3">
      <c r="E80" s="3">
        <f t="shared" si="1"/>
        <v>1.1554848427964421</v>
      </c>
      <c r="F80" s="15">
        <f>p_atm_si/bar_to_Pa</f>
        <v>1.0129999999999999</v>
      </c>
    </row>
    <row r="81" spans="5:6" x14ac:dyDescent="0.3">
      <c r="E81" s="3">
        <f t="shared" si="1"/>
        <v>1.1409883989253404</v>
      </c>
      <c r="F81" s="15">
        <f>p_atm_si/bar_to_Pa</f>
        <v>1.0129999999999999</v>
      </c>
    </row>
    <row r="82" spans="5:6" x14ac:dyDescent="0.3">
      <c r="E82" s="3">
        <f t="shared" si="1"/>
        <v>1.1264919550542387</v>
      </c>
      <c r="F82" s="15">
        <f>p_atm_si/bar_to_Pa</f>
        <v>1.0129999999999999</v>
      </c>
    </row>
    <row r="83" spans="5:6" x14ac:dyDescent="0.3">
      <c r="E83" s="3">
        <f t="shared" si="1"/>
        <v>1.111995511183137</v>
      </c>
      <c r="F83" s="15">
        <f>p_atm_si/bar_to_Pa</f>
        <v>1.0129999999999999</v>
      </c>
    </row>
    <row r="84" spans="5:6" x14ac:dyDescent="0.3">
      <c r="E84" s="3">
        <f t="shared" si="1"/>
        <v>1.0974990673120353</v>
      </c>
      <c r="F84" s="15">
        <f>p_atm_si/bar_to_Pa</f>
        <v>1.0129999999999999</v>
      </c>
    </row>
    <row r="85" spans="5:6" x14ac:dyDescent="0.3">
      <c r="E85" s="3">
        <f t="shared" si="1"/>
        <v>1.0830026234409336</v>
      </c>
      <c r="F85" s="15">
        <f>p_atm_si/bar_to_Pa</f>
        <v>1.0129999999999999</v>
      </c>
    </row>
    <row r="86" spans="5:6" x14ac:dyDescent="0.3">
      <c r="E86" s="3">
        <f t="shared" si="1"/>
        <v>1.0685061795698318</v>
      </c>
      <c r="F86" s="15">
        <f>p_atm_si/bar_to_Pa</f>
        <v>1.0129999999999999</v>
      </c>
    </row>
    <row r="87" spans="5:6" x14ac:dyDescent="0.3">
      <c r="E87" s="3">
        <f t="shared" si="1"/>
        <v>1.0540097356987301</v>
      </c>
      <c r="F87" s="15">
        <f>p_atm_si/bar_to_Pa</f>
        <v>1.0129999999999999</v>
      </c>
    </row>
    <row r="88" spans="5:6" x14ac:dyDescent="0.3">
      <c r="E88" s="3">
        <f t="shared" si="1"/>
        <v>1.0395132918276284</v>
      </c>
      <c r="F88" s="15">
        <f>p_atm_si/bar_to_Pa</f>
        <v>1.0129999999999999</v>
      </c>
    </row>
    <row r="89" spans="5:6" x14ac:dyDescent="0.3">
      <c r="E89" s="3">
        <f t="shared" si="1"/>
        <v>1.0250168479565267</v>
      </c>
      <c r="F89" s="15">
        <f>p_atm_si/bar_to_Pa</f>
        <v>1.0129999999999999</v>
      </c>
    </row>
    <row r="90" spans="5:6" x14ac:dyDescent="0.3">
      <c r="E90" s="3">
        <f t="shared" si="1"/>
        <v>1.010520404085425</v>
      </c>
      <c r="F90" s="15">
        <f>p_atm_si/bar_to_Pa</f>
        <v>1.0129999999999999</v>
      </c>
    </row>
    <row r="91" spans="5:6" x14ac:dyDescent="0.3">
      <c r="E91" s="3">
        <f t="shared" si="1"/>
        <v>0.99602396021432338</v>
      </c>
      <c r="F91" s="15">
        <f>p_atm_si/bar_to_Pa</f>
        <v>1.0129999999999999</v>
      </c>
    </row>
    <row r="92" spans="5:6" x14ac:dyDescent="0.3">
      <c r="E92" s="3">
        <f t="shared" si="1"/>
        <v>0.98152751634322177</v>
      </c>
      <c r="F92" s="15">
        <f>p_atm_si/bar_to_Pa</f>
        <v>1.0129999999999999</v>
      </c>
    </row>
    <row r="93" spans="5:6" x14ac:dyDescent="0.3">
      <c r="E93" s="3">
        <f t="shared" si="1"/>
        <v>0.96703107247212017</v>
      </c>
      <c r="F93" s="15">
        <f>p_atm_si/bar_to_Pa</f>
        <v>1.0129999999999999</v>
      </c>
    </row>
    <row r="94" spans="5:6" x14ac:dyDescent="0.3">
      <c r="E94" s="3">
        <f t="shared" si="1"/>
        <v>0.95253462860101856</v>
      </c>
      <c r="F94" s="15">
        <f>p_atm_si/bar_to_Pa</f>
        <v>1.0129999999999999</v>
      </c>
    </row>
    <row r="95" spans="5:6" x14ac:dyDescent="0.3">
      <c r="E95" s="3">
        <f t="shared" si="1"/>
        <v>0.93803818472991696</v>
      </c>
      <c r="F95" s="15">
        <f>p_atm_si/bar_to_Pa</f>
        <v>1.0129999999999999</v>
      </c>
    </row>
    <row r="96" spans="5:6" x14ac:dyDescent="0.3">
      <c r="E96" s="3">
        <f t="shared" si="1"/>
        <v>0.92354174085881535</v>
      </c>
      <c r="F96" s="15">
        <f>p_atm_si/bar_to_Pa</f>
        <v>1.0129999999999999</v>
      </c>
    </row>
    <row r="97" spans="5:6" x14ac:dyDescent="0.3">
      <c r="E97" s="3">
        <f t="shared" si="1"/>
        <v>0.90904529698771375</v>
      </c>
      <c r="F97" s="15">
        <f>p_atm_si/bar_to_Pa</f>
        <v>1.0129999999999999</v>
      </c>
    </row>
    <row r="98" spans="5:6" x14ac:dyDescent="0.3">
      <c r="E98" s="3">
        <f t="shared" si="1"/>
        <v>0.89454885311661214</v>
      </c>
      <c r="F98" s="15">
        <f>p_atm_si/bar_to_Pa</f>
        <v>1.0129999999999999</v>
      </c>
    </row>
    <row r="99" spans="5:6" x14ac:dyDescent="0.3">
      <c r="E99" s="3">
        <f t="shared" si="1"/>
        <v>0.88005240924551054</v>
      </c>
      <c r="F99" s="15">
        <f>p_atm_si/bar_to_Pa</f>
        <v>1.0129999999999999</v>
      </c>
    </row>
    <row r="100" spans="5:6" x14ac:dyDescent="0.3">
      <c r="E100" s="3">
        <f t="shared" si="1"/>
        <v>0.86555596537440893</v>
      </c>
      <c r="F100" s="15">
        <f>p_atm_si/bar_to_Pa</f>
        <v>1.0129999999999999</v>
      </c>
    </row>
    <row r="101" spans="5:6" x14ac:dyDescent="0.3">
      <c r="E101" s="3">
        <f t="shared" si="1"/>
        <v>0.85105952150330733</v>
      </c>
      <c r="F101" s="15">
        <f>p_atm_si/bar_to_Pa</f>
        <v>1.0129999999999999</v>
      </c>
    </row>
    <row r="102" spans="5:6" x14ac:dyDescent="0.3">
      <c r="E102" s="3">
        <f t="shared" si="1"/>
        <v>0.83656307763220572</v>
      </c>
      <c r="F102" s="15">
        <f>p_atm_si/bar_to_Pa</f>
        <v>1.0129999999999999</v>
      </c>
    </row>
    <row r="103" spans="5:6" x14ac:dyDescent="0.3">
      <c r="E103" s="3">
        <f>v_spec_1</f>
        <v>0.82206663376110567</v>
      </c>
      <c r="F103" s="15">
        <f>p_atm_si/bar_to_Pa</f>
        <v>1.0129999999999999</v>
      </c>
    </row>
  </sheetData>
  <sheetProtection algorithmName="SHA-512" hashValue="R23XRdVysU1ZmBiM8gl+h2teHgKsQ4s8DG7hCreqCpGqZPmEe1ngwCHRcUtpVXbzttNWeIcJ3iOrWhGRM1WwTg==" saltValue="WyP5F/prIhFEgNghlB4XTA==" spinCount="100000" sheet="1" objects="1" scenarios="1" formatCells="0" formatColumns="0" formatRows="0"/>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16" sqref="B16"/>
    </sheetView>
  </sheetViews>
  <sheetFormatPr defaultRowHeight="14.4" x14ac:dyDescent="0.3"/>
  <cols>
    <col min="1" max="1" width="14.109375" customWidth="1"/>
    <col min="2" max="2" width="15.44140625" customWidth="1"/>
  </cols>
  <sheetData>
    <row r="1" spans="1:3" x14ac:dyDescent="0.3">
      <c r="A1" t="s">
        <v>88</v>
      </c>
      <c r="B1">
        <f>1/1000</f>
        <v>1E-3</v>
      </c>
      <c r="C1" t="s">
        <v>74</v>
      </c>
    </row>
    <row r="2" spans="1:3" x14ac:dyDescent="0.3">
      <c r="A2" t="s">
        <v>89</v>
      </c>
      <c r="B2" s="50">
        <v>1000</v>
      </c>
      <c r="C2" t="s">
        <v>74</v>
      </c>
    </row>
    <row r="3" spans="1:3" x14ac:dyDescent="0.3">
      <c r="A3" t="s">
        <v>73</v>
      </c>
      <c r="B3" s="50">
        <v>100000</v>
      </c>
      <c r="C3" t="s">
        <v>74</v>
      </c>
    </row>
    <row r="4" spans="1:3" x14ac:dyDescent="0.3">
      <c r="A4" t="s">
        <v>79</v>
      </c>
      <c r="B4">
        <f>p_atm_bar*bar_to_Pa</f>
        <v>101299.99999999999</v>
      </c>
      <c r="C4" t="s">
        <v>72</v>
      </c>
    </row>
    <row r="5" spans="1:3" x14ac:dyDescent="0.3">
      <c r="A5" t="s">
        <v>78</v>
      </c>
      <c r="B5">
        <f>Q_in*1000</f>
        <v>2000000</v>
      </c>
      <c r="C5" t="s">
        <v>75</v>
      </c>
    </row>
    <row r="6" spans="1:3" x14ac:dyDescent="0.3">
      <c r="A6" t="s">
        <v>77</v>
      </c>
      <c r="B6">
        <f>V_flux_1 /3600</f>
        <v>1.6666666666666667</v>
      </c>
      <c r="C6" t="s">
        <v>76</v>
      </c>
    </row>
    <row r="7" spans="1:3" x14ac:dyDescent="0.3">
      <c r="A7" t="s">
        <v>80</v>
      </c>
      <c r="B7">
        <f>c_p-c_V</f>
        <v>289</v>
      </c>
      <c r="C7" t="s">
        <v>81</v>
      </c>
    </row>
    <row r="8" spans="1:3" x14ac:dyDescent="0.3">
      <c r="A8" t="s">
        <v>17</v>
      </c>
      <c r="B8">
        <f>c_p/c_V</f>
        <v>1.4036312849162011</v>
      </c>
      <c r="C8" t="s">
        <v>74</v>
      </c>
    </row>
    <row r="9" spans="1:3" x14ac:dyDescent="0.3">
      <c r="A9" t="s">
        <v>82</v>
      </c>
      <c r="B9">
        <f>Kelvin+T_1_Celcius</f>
        <v>288.14999999999998</v>
      </c>
      <c r="C9" t="s">
        <v>17</v>
      </c>
    </row>
    <row r="10" spans="1:3" x14ac:dyDescent="0.3">
      <c r="A10" t="s">
        <v>83</v>
      </c>
      <c r="B10">
        <f>p_atm_si/(T_1_si*Rs)</f>
        <v>1.2164464034074909</v>
      </c>
      <c r="C10" t="s">
        <v>84</v>
      </c>
    </row>
    <row r="11" spans="1:3" x14ac:dyDescent="0.3">
      <c r="A11" t="s">
        <v>85</v>
      </c>
      <c r="B11">
        <f>p_2_bar*bar_to_Pa</f>
        <v>1000000</v>
      </c>
      <c r="C11" t="s">
        <v>72</v>
      </c>
    </row>
    <row r="12" spans="1:3" x14ac:dyDescent="0.3">
      <c r="A12" t="s">
        <v>86</v>
      </c>
      <c r="B12">
        <f>p_2_si/(T_2*Rs)</f>
        <v>6.2163349711744571</v>
      </c>
      <c r="C12" t="s">
        <v>84</v>
      </c>
    </row>
    <row r="13" spans="1:3" x14ac:dyDescent="0.3">
      <c r="A13" t="s">
        <v>87</v>
      </c>
      <c r="B13">
        <f>c_2*A_2</f>
        <v>0.32614244273306559</v>
      </c>
      <c r="C13" t="s">
        <v>76</v>
      </c>
    </row>
    <row r="14" spans="1:3" x14ac:dyDescent="0.3">
      <c r="A14" t="s">
        <v>90</v>
      </c>
      <c r="B14">
        <f>p_2_si/(T_3*Rs)</f>
        <v>2.2495121593964402</v>
      </c>
      <c r="C14" t="s">
        <v>84</v>
      </c>
    </row>
    <row r="15" spans="1:3" x14ac:dyDescent="0.3">
      <c r="A15" t="s">
        <v>91</v>
      </c>
      <c r="B15">
        <f>c_3*A_3</f>
        <v>0.90126682084251852</v>
      </c>
      <c r="C15" t="s">
        <v>76</v>
      </c>
    </row>
    <row r="16" spans="1:3" x14ac:dyDescent="0.3">
      <c r="A16" t="s">
        <v>92</v>
      </c>
      <c r="B16">
        <f>p_atm_si/(T_4*Rs)</f>
        <v>0.44019683437397317</v>
      </c>
      <c r="C16" t="s">
        <v>84</v>
      </c>
    </row>
    <row r="17" spans="1:3" x14ac:dyDescent="0.3">
      <c r="A17" t="s">
        <v>93</v>
      </c>
      <c r="B17">
        <f>c_4*A_4</f>
        <v>4.6056911682000274</v>
      </c>
      <c r="C17"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50</vt:i4>
      </vt:variant>
    </vt:vector>
  </HeadingPairs>
  <TitlesOfParts>
    <vt:vector size="56" baseType="lpstr">
      <vt:lpstr>Input</vt:lpstr>
      <vt:lpstr>Compressor</vt:lpstr>
      <vt:lpstr>Warmtetoevoer</vt:lpstr>
      <vt:lpstr>Turbine</vt:lpstr>
      <vt:lpstr>Koeling</vt:lpstr>
      <vt:lpstr>Variables</vt:lpstr>
      <vt:lpstr>A_1</vt:lpstr>
      <vt:lpstr>A_2</vt:lpstr>
      <vt:lpstr>A_3</vt:lpstr>
      <vt:lpstr>A_4</vt:lpstr>
      <vt:lpstr>bar_to_Pa</vt:lpstr>
      <vt:lpstr>c_1</vt:lpstr>
      <vt:lpstr>c_2</vt:lpstr>
      <vt:lpstr>c_3</vt:lpstr>
      <vt:lpstr>c_4</vt:lpstr>
      <vt:lpstr>c_p</vt:lpstr>
      <vt:lpstr>c_V</vt:lpstr>
      <vt:lpstr>from_kilo</vt:lpstr>
      <vt:lpstr>K</vt:lpstr>
      <vt:lpstr>Kelvin</vt:lpstr>
      <vt:lpstr>m_flux</vt:lpstr>
      <vt:lpstr>p_2_bar</vt:lpstr>
      <vt:lpstr>p_2_si</vt:lpstr>
      <vt:lpstr>p_atm_bar</vt:lpstr>
      <vt:lpstr>p_atm_pa</vt:lpstr>
      <vt:lpstr>p_atm_si</vt:lpstr>
      <vt:lpstr>q_2_3</vt:lpstr>
      <vt:lpstr>q_4_1</vt:lpstr>
      <vt:lpstr>Q_in</vt:lpstr>
      <vt:lpstr>Q_in_si</vt:lpstr>
      <vt:lpstr>Q_in_Watt</vt:lpstr>
      <vt:lpstr>rho_1</vt:lpstr>
      <vt:lpstr>rho_2</vt:lpstr>
      <vt:lpstr>rho_3</vt:lpstr>
      <vt:lpstr>rho_4</vt:lpstr>
      <vt:lpstr>Rs</vt:lpstr>
      <vt:lpstr>T_1</vt:lpstr>
      <vt:lpstr>T_1_Celcius</vt:lpstr>
      <vt:lpstr>T_1_si</vt:lpstr>
      <vt:lpstr>T_2</vt:lpstr>
      <vt:lpstr>T_3</vt:lpstr>
      <vt:lpstr>T_4</vt:lpstr>
      <vt:lpstr>to_kilo</vt:lpstr>
      <vt:lpstr>V_flux_1</vt:lpstr>
      <vt:lpstr>V_flux_1_si</vt:lpstr>
      <vt:lpstr>V_flux_2</vt:lpstr>
      <vt:lpstr>V_flux_3</vt:lpstr>
      <vt:lpstr>V_flux_4</vt:lpstr>
      <vt:lpstr>v_spec_1</vt:lpstr>
      <vt:lpstr>v_spec_2</vt:lpstr>
      <vt:lpstr>v_spec_3</vt:lpstr>
      <vt:lpstr>v_spec_4</vt:lpstr>
      <vt:lpstr>W_1_2</vt:lpstr>
      <vt:lpstr>W_2_3</vt:lpstr>
      <vt:lpstr>W_3_4</vt:lpstr>
      <vt:lpstr>W_4_1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2017-12-03T22:27:41Z</dcterms:modified>
</cp:coreProperties>
</file>