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minimized="1" xWindow="120" yWindow="135" windowWidth="15480" windowHeight="11580" tabRatio="780"/>
  </bookViews>
  <sheets>
    <sheet name="show" sheetId="41" r:id="rId1"/>
    <sheet name="total" sheetId="3" r:id="rId2"/>
    <sheet name="Parameters" sheetId="21" r:id="rId3"/>
    <sheet name="DN500 S" sheetId="24" r:id="rId4"/>
    <sheet name="DN450 S" sheetId="22" r:id="rId5"/>
    <sheet name="DN400 S" sheetId="20" r:id="rId6"/>
    <sheet name="DN350 S" sheetId="19" r:id="rId7"/>
    <sheet name="DN300 S" sheetId="18" r:id="rId8"/>
    <sheet name="DN250 S" sheetId="17" r:id="rId9"/>
    <sheet name="DN200 S" sheetId="8" r:id="rId10"/>
    <sheet name="DN150 S" sheetId="10" r:id="rId11"/>
    <sheet name="DN125 S" sheetId="7" r:id="rId12"/>
    <sheet name="DN100 S" sheetId="11" r:id="rId13"/>
    <sheet name="DN80 S" sheetId="6" r:id="rId14"/>
    <sheet name="DN65 S" sheetId="12" r:id="rId15"/>
    <sheet name="DN50 S" sheetId="13" r:id="rId16"/>
    <sheet name="DN40 S" sheetId="4" r:id="rId17"/>
    <sheet name="DN32 S" sheetId="14" r:id="rId18"/>
    <sheet name="DN25 S" sheetId="16" r:id="rId19"/>
    <sheet name="DN500 P" sheetId="25" r:id="rId20"/>
    <sheet name="DN450 P" sheetId="26" r:id="rId21"/>
    <sheet name="DN400 P" sheetId="27" r:id="rId22"/>
    <sheet name="DN350 P" sheetId="28" r:id="rId23"/>
    <sheet name="DN300 P" sheetId="29" r:id="rId24"/>
    <sheet name="DN250 P" sheetId="30" r:id="rId25"/>
    <sheet name="DN200 P" sheetId="31" r:id="rId26"/>
    <sheet name="DN150 P" sheetId="32" r:id="rId27"/>
    <sheet name="DN125 P" sheetId="33" r:id="rId28"/>
    <sheet name="DN100 P" sheetId="34" r:id="rId29"/>
    <sheet name="DN80 P" sheetId="35" r:id="rId30"/>
    <sheet name="DN65 P" sheetId="36" r:id="rId31"/>
    <sheet name="DN50 P" sheetId="37" r:id="rId32"/>
    <sheet name="DN40 P" sheetId="38" r:id="rId33"/>
    <sheet name="DN32 P" sheetId="39" r:id="rId34"/>
    <sheet name="DN25 P" sheetId="40" r:id="rId35"/>
    <sheet name="pipe dimensions" sheetId="15" r:id="rId36"/>
  </sheets>
  <calcPr calcId="145621"/>
</workbook>
</file>

<file path=xl/calcChain.xml><?xml version="1.0" encoding="utf-8"?>
<calcChain xmlns="http://schemas.openxmlformats.org/spreadsheetml/2006/main">
  <c r="F39" i="41" l="1"/>
  <c r="F45" i="41" s="1"/>
  <c r="F47" i="41" s="1"/>
  <c r="F49" i="41" s="1"/>
  <c r="F31" i="41"/>
  <c r="F30" i="41"/>
  <c r="F21" i="41"/>
  <c r="F27" i="41" s="1"/>
  <c r="F29" i="41" l="1"/>
  <c r="F34" i="41" s="1"/>
  <c r="F35" i="3"/>
  <c r="E9" i="40" l="1"/>
  <c r="E9" i="39"/>
  <c r="E9" i="38"/>
  <c r="E9" i="37"/>
  <c r="E9" i="36"/>
  <c r="E9" i="35"/>
  <c r="E9" i="34"/>
  <c r="E9" i="33"/>
  <c r="E9" i="32"/>
  <c r="E9" i="31"/>
  <c r="E9" i="30"/>
  <c r="E9" i="29"/>
  <c r="E9" i="28"/>
  <c r="E9" i="27"/>
  <c r="E9" i="26"/>
  <c r="E9" i="25"/>
  <c r="E11" i="25" l="1"/>
  <c r="E11" i="26"/>
  <c r="E11" i="27"/>
  <c r="E11" i="28"/>
  <c r="E11" i="29"/>
  <c r="E11" i="30"/>
  <c r="E11" i="31"/>
  <c r="E11" i="32"/>
  <c r="E11" i="33"/>
  <c r="E11" i="34"/>
  <c r="E11" i="35"/>
  <c r="E11" i="36"/>
  <c r="E11" i="37"/>
  <c r="E11" i="38"/>
  <c r="E11" i="39"/>
  <c r="E11" i="40"/>
  <c r="E8" i="40"/>
  <c r="E8" i="39"/>
  <c r="E8" i="38"/>
  <c r="E8" i="37"/>
  <c r="E8" i="36"/>
  <c r="E8" i="35"/>
  <c r="E8" i="34"/>
  <c r="E8" i="33"/>
  <c r="E8" i="32"/>
  <c r="E8" i="31"/>
  <c r="E8" i="30"/>
  <c r="E8" i="29"/>
  <c r="E8" i="28"/>
  <c r="E8" i="27"/>
  <c r="E8" i="26"/>
  <c r="E8" i="25"/>
  <c r="B49" i="40" l="1"/>
  <c r="B38" i="40"/>
  <c r="B39" i="40"/>
  <c r="B40" i="40"/>
  <c r="D40" i="40"/>
  <c r="B41" i="40"/>
  <c r="D41" i="40"/>
  <c r="B42" i="40"/>
  <c r="B43" i="40"/>
  <c r="B44" i="40"/>
  <c r="B45" i="40"/>
  <c r="D45" i="40"/>
  <c r="B46" i="40"/>
  <c r="B47" i="40"/>
  <c r="B48" i="40"/>
  <c r="D48" i="40"/>
  <c r="B37" i="40"/>
  <c r="K11" i="40"/>
  <c r="E12" i="40"/>
  <c r="E10" i="40"/>
  <c r="E7" i="40"/>
  <c r="B38" i="39"/>
  <c r="B39" i="39"/>
  <c r="B40" i="39"/>
  <c r="B41" i="39"/>
  <c r="B42" i="39"/>
  <c r="B43" i="39"/>
  <c r="D43" i="39"/>
  <c r="B44" i="39"/>
  <c r="B45" i="39"/>
  <c r="B46" i="39"/>
  <c r="B47" i="39"/>
  <c r="D47" i="39"/>
  <c r="B48" i="39"/>
  <c r="D48" i="39"/>
  <c r="B49" i="39"/>
  <c r="B37" i="39"/>
  <c r="K11" i="39"/>
  <c r="E12" i="39"/>
  <c r="E10" i="39"/>
  <c r="E7" i="39"/>
  <c r="B38" i="38"/>
  <c r="B39" i="38"/>
  <c r="B40" i="38"/>
  <c r="D40" i="38"/>
  <c r="B41" i="38"/>
  <c r="D41" i="38"/>
  <c r="B42" i="38"/>
  <c r="B43" i="38"/>
  <c r="B44" i="38"/>
  <c r="B45" i="38"/>
  <c r="D45" i="38"/>
  <c r="B46" i="38"/>
  <c r="B47" i="38"/>
  <c r="B48" i="38"/>
  <c r="D48" i="38"/>
  <c r="B49" i="38"/>
  <c r="D49" i="38"/>
  <c r="B37" i="38"/>
  <c r="K11" i="38"/>
  <c r="E12" i="38"/>
  <c r="E10" i="38"/>
  <c r="E7" i="38"/>
  <c r="B38" i="37"/>
  <c r="B39" i="37"/>
  <c r="B40" i="37"/>
  <c r="D40" i="37"/>
  <c r="B41" i="37"/>
  <c r="D41" i="37"/>
  <c r="B42" i="37"/>
  <c r="B43" i="37"/>
  <c r="B44" i="37"/>
  <c r="B45" i="37"/>
  <c r="D45" i="37"/>
  <c r="B46" i="37"/>
  <c r="B47" i="37"/>
  <c r="B48" i="37"/>
  <c r="D48" i="37"/>
  <c r="B49" i="37"/>
  <c r="D49" i="37"/>
  <c r="B37" i="37"/>
  <c r="K11" i="37"/>
  <c r="E12" i="37"/>
  <c r="E10" i="37"/>
  <c r="E7" i="37"/>
  <c r="B38" i="36"/>
  <c r="B39" i="36"/>
  <c r="B40" i="36"/>
  <c r="D40" i="36"/>
  <c r="B41" i="36"/>
  <c r="D41" i="36"/>
  <c r="B42" i="36"/>
  <c r="B43" i="36"/>
  <c r="B44" i="36"/>
  <c r="B45" i="36"/>
  <c r="D45" i="36"/>
  <c r="B46" i="36"/>
  <c r="B47" i="36"/>
  <c r="B48" i="36"/>
  <c r="D48" i="36"/>
  <c r="B49" i="36"/>
  <c r="D49" i="36"/>
  <c r="B37" i="36"/>
  <c r="K11" i="36"/>
  <c r="E12" i="36"/>
  <c r="E10" i="36"/>
  <c r="E7" i="36"/>
  <c r="B38" i="35"/>
  <c r="B39" i="35"/>
  <c r="B40" i="35"/>
  <c r="B41" i="35"/>
  <c r="B42" i="35"/>
  <c r="B43" i="35"/>
  <c r="B44" i="35"/>
  <c r="B45" i="35"/>
  <c r="B46" i="35"/>
  <c r="B47" i="35"/>
  <c r="D47" i="35"/>
  <c r="B48" i="35"/>
  <c r="D48" i="35"/>
  <c r="B49" i="35"/>
  <c r="B37" i="35"/>
  <c r="K11" i="35"/>
  <c r="E12" i="35"/>
  <c r="E10" i="35"/>
  <c r="E13" i="35"/>
  <c r="E7" i="35"/>
  <c r="B38" i="34"/>
  <c r="B39" i="34"/>
  <c r="D39" i="34"/>
  <c r="B40" i="34"/>
  <c r="D40" i="34"/>
  <c r="B41" i="34"/>
  <c r="B42" i="34"/>
  <c r="B43" i="34"/>
  <c r="D43" i="34"/>
  <c r="B44" i="34"/>
  <c r="B45" i="34"/>
  <c r="B46" i="34"/>
  <c r="B47" i="34"/>
  <c r="B48" i="34"/>
  <c r="D48" i="34"/>
  <c r="B49" i="34"/>
  <c r="B37" i="34"/>
  <c r="K11" i="34"/>
  <c r="E12" i="34"/>
  <c r="E10" i="34"/>
  <c r="E7" i="34"/>
  <c r="B38" i="33"/>
  <c r="B39" i="33"/>
  <c r="D39" i="33"/>
  <c r="B40" i="33"/>
  <c r="D40" i="33"/>
  <c r="B41" i="33"/>
  <c r="B42" i="33"/>
  <c r="B43" i="33"/>
  <c r="D43" i="33"/>
  <c r="B44" i="33"/>
  <c r="B45" i="33"/>
  <c r="B46" i="33"/>
  <c r="B47" i="33"/>
  <c r="D47" i="33"/>
  <c r="B48" i="33"/>
  <c r="D48" i="33"/>
  <c r="B49" i="33"/>
  <c r="B37" i="33"/>
  <c r="K11" i="33"/>
  <c r="E12" i="33"/>
  <c r="E10" i="33"/>
  <c r="E7" i="33"/>
  <c r="B38" i="32"/>
  <c r="B39" i="32"/>
  <c r="B40" i="32"/>
  <c r="D40" i="32"/>
  <c r="B41" i="32"/>
  <c r="D41" i="32"/>
  <c r="B42" i="32"/>
  <c r="B43" i="32"/>
  <c r="B44" i="32"/>
  <c r="B45" i="32"/>
  <c r="D45" i="32"/>
  <c r="B46" i="32"/>
  <c r="B47" i="32"/>
  <c r="B48" i="32"/>
  <c r="D48" i="32"/>
  <c r="B49" i="32"/>
  <c r="D49" i="32"/>
  <c r="B37" i="32"/>
  <c r="K11" i="32"/>
  <c r="E12" i="32"/>
  <c r="E10" i="32"/>
  <c r="E7" i="32"/>
  <c r="B38" i="31"/>
  <c r="B39" i="31"/>
  <c r="B40" i="31"/>
  <c r="D40" i="31"/>
  <c r="B41" i="31"/>
  <c r="D41" i="31"/>
  <c r="B42" i="31"/>
  <c r="B43" i="31"/>
  <c r="B44" i="31"/>
  <c r="B45" i="31"/>
  <c r="D45" i="31"/>
  <c r="B46" i="31"/>
  <c r="B47" i="31"/>
  <c r="B48" i="31"/>
  <c r="D48" i="31"/>
  <c r="B49" i="31"/>
  <c r="D49" i="31"/>
  <c r="B37" i="31"/>
  <c r="K11" i="31"/>
  <c r="E12" i="31"/>
  <c r="E10" i="31"/>
  <c r="E7" i="31"/>
  <c r="B38" i="30"/>
  <c r="B39" i="30"/>
  <c r="B40" i="30"/>
  <c r="B41" i="30"/>
  <c r="B42" i="30"/>
  <c r="B43" i="30"/>
  <c r="D43" i="30"/>
  <c r="B44" i="30"/>
  <c r="B45" i="30"/>
  <c r="B46" i="30"/>
  <c r="B47" i="30"/>
  <c r="D47" i="30"/>
  <c r="B48" i="30"/>
  <c r="D48" i="30"/>
  <c r="B49" i="30"/>
  <c r="B37" i="30"/>
  <c r="K11" i="30"/>
  <c r="E12" i="30"/>
  <c r="E10" i="30"/>
  <c r="E7" i="30"/>
  <c r="B38" i="29"/>
  <c r="B39" i="29"/>
  <c r="D39" i="29"/>
  <c r="B40" i="29"/>
  <c r="D40" i="29"/>
  <c r="B41" i="29"/>
  <c r="B42" i="29"/>
  <c r="B43" i="29"/>
  <c r="D43" i="29"/>
  <c r="B44" i="29"/>
  <c r="B45" i="29"/>
  <c r="B46" i="29"/>
  <c r="B47" i="29"/>
  <c r="B48" i="29"/>
  <c r="D48" i="29"/>
  <c r="B49" i="29"/>
  <c r="B37" i="29"/>
  <c r="K11" i="29"/>
  <c r="E12" i="29"/>
  <c r="E10" i="29"/>
  <c r="E7" i="29"/>
  <c r="B38" i="28"/>
  <c r="B39" i="28"/>
  <c r="B40" i="28"/>
  <c r="B41" i="28"/>
  <c r="B42" i="28"/>
  <c r="B43" i="28"/>
  <c r="B44" i="28"/>
  <c r="B45" i="28"/>
  <c r="D45" i="28"/>
  <c r="B46" i="28"/>
  <c r="B47" i="28"/>
  <c r="B48" i="28"/>
  <c r="D48" i="28"/>
  <c r="B49" i="28"/>
  <c r="D49" i="28"/>
  <c r="B37" i="28"/>
  <c r="K11" i="28"/>
  <c r="E12" i="28"/>
  <c r="E10" i="28"/>
  <c r="E7" i="28"/>
  <c r="B38" i="27"/>
  <c r="B39" i="27"/>
  <c r="B40" i="27"/>
  <c r="B41" i="27"/>
  <c r="D41" i="27"/>
  <c r="B42" i="27"/>
  <c r="B43" i="27"/>
  <c r="B44" i="27"/>
  <c r="B45" i="27"/>
  <c r="B46" i="27"/>
  <c r="B47" i="27"/>
  <c r="B48" i="27"/>
  <c r="B49" i="27"/>
  <c r="B37" i="27"/>
  <c r="K11" i="27"/>
  <c r="E12" i="27"/>
  <c r="E10" i="27"/>
  <c r="E7" i="27"/>
  <c r="B38" i="26"/>
  <c r="B39" i="26"/>
  <c r="D39" i="26"/>
  <c r="B40" i="26"/>
  <c r="D40" i="26"/>
  <c r="B41" i="26"/>
  <c r="B42" i="26"/>
  <c r="B43" i="26"/>
  <c r="D43" i="26"/>
  <c r="B44" i="26"/>
  <c r="B45" i="26"/>
  <c r="B46" i="26"/>
  <c r="B47" i="26"/>
  <c r="D47" i="26"/>
  <c r="B48" i="26"/>
  <c r="D48" i="26"/>
  <c r="B49" i="26"/>
  <c r="B37" i="26"/>
  <c r="K11" i="26"/>
  <c r="E12" i="26"/>
  <c r="E10" i="26"/>
  <c r="E7" i="26"/>
  <c r="B38" i="25"/>
  <c r="B39" i="25"/>
  <c r="B40" i="25"/>
  <c r="B41" i="25"/>
  <c r="B42" i="25"/>
  <c r="B43" i="25"/>
  <c r="B44" i="25"/>
  <c r="B45" i="25"/>
  <c r="D45" i="25"/>
  <c r="B46" i="25"/>
  <c r="B47" i="25"/>
  <c r="D47" i="25"/>
  <c r="B48" i="25"/>
  <c r="D48" i="25"/>
  <c r="B49" i="25"/>
  <c r="D49" i="25"/>
  <c r="B37" i="25"/>
  <c r="K11" i="25"/>
  <c r="E12" i="25"/>
  <c r="E10" i="25"/>
  <c r="E7" i="25"/>
  <c r="E7" i="24"/>
  <c r="E10" i="24"/>
  <c r="E12" i="24"/>
  <c r="F36" i="3"/>
  <c r="H22" i="40"/>
  <c r="E13" i="40"/>
  <c r="H16" i="40"/>
  <c r="H17" i="40"/>
  <c r="H19" i="40" s="1"/>
  <c r="H21" i="40"/>
  <c r="H32" i="40"/>
  <c r="D37" i="40"/>
  <c r="D38" i="40"/>
  <c r="D39" i="40"/>
  <c r="D42" i="40"/>
  <c r="D43" i="40"/>
  <c r="D46" i="40"/>
  <c r="D47" i="40"/>
  <c r="D49" i="40"/>
  <c r="H31" i="39"/>
  <c r="E13" i="39"/>
  <c r="H21" i="39"/>
  <c r="H22" i="39"/>
  <c r="H32" i="39"/>
  <c r="D37" i="39"/>
  <c r="D38" i="39"/>
  <c r="D39" i="39"/>
  <c r="D40" i="39"/>
  <c r="D41" i="39"/>
  <c r="D42" i="39"/>
  <c r="D45" i="39"/>
  <c r="D46" i="39"/>
  <c r="D49" i="39"/>
  <c r="H16" i="38"/>
  <c r="H17" i="38"/>
  <c r="H19" i="38" s="1"/>
  <c r="E13" i="38"/>
  <c r="H21" i="38"/>
  <c r="H22" i="38"/>
  <c r="D37" i="38"/>
  <c r="D38" i="38"/>
  <c r="D39" i="38"/>
  <c r="D42" i="38"/>
  <c r="D43" i="38"/>
  <c r="D46" i="38"/>
  <c r="D47" i="38"/>
  <c r="H32" i="37"/>
  <c r="E13" i="37"/>
  <c r="D37" i="37"/>
  <c r="D38" i="37"/>
  <c r="D39" i="37"/>
  <c r="D42" i="37"/>
  <c r="D43" i="37"/>
  <c r="D46" i="37"/>
  <c r="D47" i="37"/>
  <c r="H22" i="36"/>
  <c r="H18" i="36"/>
  <c r="E13" i="36"/>
  <c r="H21" i="36"/>
  <c r="D37" i="36"/>
  <c r="D38" i="36"/>
  <c r="D39" i="36"/>
  <c r="D42" i="36"/>
  <c r="D43" i="36"/>
  <c r="D46" i="36"/>
  <c r="D47" i="36"/>
  <c r="H31" i="35"/>
  <c r="H21" i="35"/>
  <c r="H22" i="35"/>
  <c r="D37" i="35"/>
  <c r="D38" i="35"/>
  <c r="D39" i="35"/>
  <c r="D40" i="35"/>
  <c r="D41" i="35"/>
  <c r="D42" i="35"/>
  <c r="D43" i="35"/>
  <c r="D45" i="35"/>
  <c r="D46" i="35"/>
  <c r="D49" i="35"/>
  <c r="H32" i="34"/>
  <c r="E13" i="34"/>
  <c r="H21" i="34"/>
  <c r="H22" i="34"/>
  <c r="H31" i="34"/>
  <c r="D37" i="34"/>
  <c r="D38" i="34"/>
  <c r="D41" i="34"/>
  <c r="D42" i="34"/>
  <c r="D45" i="34"/>
  <c r="D46" i="34"/>
  <c r="D47" i="34"/>
  <c r="D49" i="34"/>
  <c r="H16" i="33"/>
  <c r="H17" i="33"/>
  <c r="I17" i="33" s="1"/>
  <c r="H18" i="33"/>
  <c r="E13" i="33"/>
  <c r="D37" i="33"/>
  <c r="D38" i="33"/>
  <c r="D41" i="33"/>
  <c r="D42" i="33"/>
  <c r="D45" i="33"/>
  <c r="D46" i="33"/>
  <c r="D49" i="33"/>
  <c r="H16" i="32"/>
  <c r="H17" i="32"/>
  <c r="E13" i="32"/>
  <c r="D37" i="32"/>
  <c r="D38" i="32"/>
  <c r="D39" i="32"/>
  <c r="D42" i="32"/>
  <c r="D43" i="32"/>
  <c r="D46" i="32"/>
  <c r="D47" i="32"/>
  <c r="E13" i="31"/>
  <c r="H21" i="31"/>
  <c r="H22" i="31"/>
  <c r="D37" i="31"/>
  <c r="D38" i="31"/>
  <c r="D39" i="31"/>
  <c r="D42" i="31"/>
  <c r="D43" i="31"/>
  <c r="D46" i="31"/>
  <c r="D47" i="31"/>
  <c r="H21" i="30"/>
  <c r="H32" i="30"/>
  <c r="E13" i="30"/>
  <c r="H16" i="30"/>
  <c r="H17" i="30" s="1"/>
  <c r="H18" i="30"/>
  <c r="H22" i="30"/>
  <c r="H31" i="30"/>
  <c r="D37" i="30"/>
  <c r="D38" i="30"/>
  <c r="D39" i="30"/>
  <c r="D40" i="30"/>
  <c r="D41" i="30"/>
  <c r="D42" i="30"/>
  <c r="D45" i="30"/>
  <c r="D46" i="30"/>
  <c r="D49" i="30"/>
  <c r="H16" i="29"/>
  <c r="H17" i="29"/>
  <c r="D31" i="29" s="1"/>
  <c r="H31" i="29"/>
  <c r="E13" i="29"/>
  <c r="H32" i="29"/>
  <c r="D37" i="29"/>
  <c r="D38" i="29"/>
  <c r="D41" i="29"/>
  <c r="D42" i="29"/>
  <c r="D45" i="29"/>
  <c r="D46" i="29"/>
  <c r="D47" i="29"/>
  <c r="D49" i="29"/>
  <c r="H22" i="28"/>
  <c r="H31" i="28"/>
  <c r="E13" i="28"/>
  <c r="H21" i="28"/>
  <c r="D37" i="28"/>
  <c r="D38" i="28"/>
  <c r="D39" i="28"/>
  <c r="D40" i="28"/>
  <c r="D41" i="28"/>
  <c r="D42" i="28"/>
  <c r="D43" i="28"/>
  <c r="D46" i="28"/>
  <c r="D47" i="28"/>
  <c r="H21" i="27"/>
  <c r="H32" i="27"/>
  <c r="E13" i="27"/>
  <c r="H16" i="27"/>
  <c r="H17" i="27"/>
  <c r="I17" i="27" s="1"/>
  <c r="H18" i="27"/>
  <c r="H22" i="27"/>
  <c r="H31" i="27"/>
  <c r="D37" i="27"/>
  <c r="D38" i="27"/>
  <c r="D39" i="27"/>
  <c r="D40" i="27"/>
  <c r="D42" i="27"/>
  <c r="D43" i="27"/>
  <c r="D45" i="27"/>
  <c r="D46" i="27"/>
  <c r="D47" i="27"/>
  <c r="D48" i="27"/>
  <c r="D49" i="27"/>
  <c r="H16" i="26"/>
  <c r="H17" i="26" s="1"/>
  <c r="E13" i="26"/>
  <c r="D37" i="26"/>
  <c r="D38" i="26"/>
  <c r="D41" i="26"/>
  <c r="D42" i="26"/>
  <c r="D45" i="26"/>
  <c r="D46" i="26"/>
  <c r="D49" i="26"/>
  <c r="H16" i="25"/>
  <c r="H17" i="25" s="1"/>
  <c r="D37" i="25"/>
  <c r="D38" i="25"/>
  <c r="D39" i="25"/>
  <c r="D40" i="25"/>
  <c r="D41" i="25"/>
  <c r="D42" i="25"/>
  <c r="D43" i="25"/>
  <c r="D46" i="25"/>
  <c r="B38" i="24"/>
  <c r="B39" i="24"/>
  <c r="D39" i="24"/>
  <c r="B40" i="24"/>
  <c r="B41" i="24"/>
  <c r="D41" i="24"/>
  <c r="B42" i="24"/>
  <c r="B43" i="24"/>
  <c r="D43" i="24"/>
  <c r="B44" i="24"/>
  <c r="B45" i="24"/>
  <c r="B46" i="24"/>
  <c r="B47" i="24"/>
  <c r="B48" i="24"/>
  <c r="B49" i="24"/>
  <c r="B37" i="24"/>
  <c r="D37" i="24"/>
  <c r="K11" i="24"/>
  <c r="D49" i="24"/>
  <c r="D48" i="24"/>
  <c r="D47" i="24"/>
  <c r="D46" i="24"/>
  <c r="D45" i="24"/>
  <c r="D42" i="24"/>
  <c r="D40" i="24"/>
  <c r="D38" i="24"/>
  <c r="E11" i="24"/>
  <c r="H32" i="24"/>
  <c r="E9" i="24"/>
  <c r="E8" i="24"/>
  <c r="B37" i="10"/>
  <c r="E7" i="10"/>
  <c r="E10" i="10"/>
  <c r="E13" i="10"/>
  <c r="E12" i="10"/>
  <c r="K11" i="10"/>
  <c r="K11" i="20"/>
  <c r="K11" i="22"/>
  <c r="E11" i="22"/>
  <c r="E11" i="20"/>
  <c r="E13" i="6"/>
  <c r="E13" i="14"/>
  <c r="B41" i="22"/>
  <c r="B42" i="22"/>
  <c r="B43" i="22"/>
  <c r="B44" i="22"/>
  <c r="B45" i="22"/>
  <c r="D45" i="22"/>
  <c r="B46" i="22"/>
  <c r="D46" i="22"/>
  <c r="B47" i="22"/>
  <c r="B48" i="22"/>
  <c r="D48" i="22"/>
  <c r="B49" i="22"/>
  <c r="D49" i="22"/>
  <c r="B40" i="22"/>
  <c r="B38" i="22"/>
  <c r="B39" i="22"/>
  <c r="D39" i="22"/>
  <c r="B37" i="22"/>
  <c r="E12" i="22"/>
  <c r="E10" i="22"/>
  <c r="E13" i="22"/>
  <c r="E7" i="22"/>
  <c r="H16" i="22"/>
  <c r="D37" i="22"/>
  <c r="D38" i="22"/>
  <c r="D40" i="22"/>
  <c r="D41" i="22"/>
  <c r="D42" i="22"/>
  <c r="D43" i="22"/>
  <c r="E9" i="22"/>
  <c r="H17" i="22"/>
  <c r="C44" i="22"/>
  <c r="D44" i="22"/>
  <c r="D51" i="22"/>
  <c r="D47" i="22"/>
  <c r="H31" i="22"/>
  <c r="E8" i="22"/>
  <c r="H22" i="22"/>
  <c r="E7" i="8"/>
  <c r="B49" i="16"/>
  <c r="D49" i="16"/>
  <c r="B48" i="16"/>
  <c r="D48" i="16"/>
  <c r="B47" i="16"/>
  <c r="B46" i="16"/>
  <c r="B45" i="16"/>
  <c r="B44" i="16"/>
  <c r="B43" i="16"/>
  <c r="D43" i="16"/>
  <c r="B42" i="16"/>
  <c r="B41" i="16"/>
  <c r="B40" i="16"/>
  <c r="B39" i="16"/>
  <c r="D39" i="16"/>
  <c r="B38" i="16"/>
  <c r="D38" i="16"/>
  <c r="B37" i="16"/>
  <c r="D37" i="16"/>
  <c r="K11" i="16"/>
  <c r="E11" i="16"/>
  <c r="E12" i="16"/>
  <c r="E10" i="16"/>
  <c r="E13" i="16"/>
  <c r="K11" i="14"/>
  <c r="E11" i="14"/>
  <c r="B49" i="14"/>
  <c r="B48" i="14"/>
  <c r="B47" i="14"/>
  <c r="B46" i="14"/>
  <c r="B45" i="14"/>
  <c r="B44" i="14"/>
  <c r="B43" i="14"/>
  <c r="B42" i="14"/>
  <c r="D42" i="14"/>
  <c r="B41" i="14"/>
  <c r="B40" i="14"/>
  <c r="B39" i="14"/>
  <c r="D39" i="14"/>
  <c r="B38" i="14"/>
  <c r="D38" i="14"/>
  <c r="B37" i="14"/>
  <c r="E12" i="14"/>
  <c r="E10" i="14"/>
  <c r="B49" i="4"/>
  <c r="B48" i="4"/>
  <c r="B47" i="4"/>
  <c r="D47" i="4"/>
  <c r="B46" i="4"/>
  <c r="B45" i="4"/>
  <c r="B44" i="4"/>
  <c r="B43" i="4"/>
  <c r="D43" i="4"/>
  <c r="B42" i="4"/>
  <c r="B41" i="4"/>
  <c r="D41" i="4"/>
  <c r="B40" i="4"/>
  <c r="B39" i="4"/>
  <c r="B38" i="4"/>
  <c r="B37" i="4"/>
  <c r="D37" i="4"/>
  <c r="K11" i="4"/>
  <c r="E12" i="4"/>
  <c r="E10" i="4"/>
  <c r="E13" i="4"/>
  <c r="B49" i="13"/>
  <c r="D49" i="13"/>
  <c r="B48" i="13"/>
  <c r="B47" i="13"/>
  <c r="B46" i="13"/>
  <c r="D46" i="13"/>
  <c r="B45" i="13"/>
  <c r="D45" i="13"/>
  <c r="B44" i="13"/>
  <c r="B43" i="13"/>
  <c r="D43" i="13"/>
  <c r="B42" i="13"/>
  <c r="B41" i="13"/>
  <c r="B40" i="13"/>
  <c r="D40" i="13"/>
  <c r="B39" i="13"/>
  <c r="B38" i="13"/>
  <c r="B37" i="13"/>
  <c r="D37" i="13"/>
  <c r="K11" i="13"/>
  <c r="E12" i="13"/>
  <c r="E10" i="13"/>
  <c r="E13" i="13"/>
  <c r="B49" i="12"/>
  <c r="D49" i="12"/>
  <c r="B48" i="12"/>
  <c r="D48" i="12"/>
  <c r="B47" i="12"/>
  <c r="D47" i="12"/>
  <c r="B46" i="12"/>
  <c r="B45" i="12"/>
  <c r="B44" i="12"/>
  <c r="B43" i="12"/>
  <c r="D43" i="12"/>
  <c r="B42" i="12"/>
  <c r="B41" i="12"/>
  <c r="B40" i="12"/>
  <c r="B39" i="12"/>
  <c r="D39" i="12"/>
  <c r="B38" i="12"/>
  <c r="B37" i="12"/>
  <c r="D37" i="12"/>
  <c r="K11" i="12"/>
  <c r="E11" i="12"/>
  <c r="E12" i="12"/>
  <c r="E10" i="12"/>
  <c r="E13" i="12"/>
  <c r="B49" i="6"/>
  <c r="D49" i="6"/>
  <c r="B48" i="6"/>
  <c r="D48" i="6"/>
  <c r="B47" i="6"/>
  <c r="D47" i="6"/>
  <c r="B46" i="6"/>
  <c r="B45" i="6"/>
  <c r="D45" i="6"/>
  <c r="B44" i="6"/>
  <c r="B43" i="6"/>
  <c r="B42" i="6"/>
  <c r="B41" i="6"/>
  <c r="D41" i="6"/>
  <c r="B40" i="6"/>
  <c r="B39" i="6"/>
  <c r="B38" i="6"/>
  <c r="B37" i="6"/>
  <c r="D37" i="6"/>
  <c r="K11" i="6"/>
  <c r="E12" i="6"/>
  <c r="E10" i="6"/>
  <c r="B49" i="11"/>
  <c r="D49" i="11"/>
  <c r="B48" i="11"/>
  <c r="D48" i="11"/>
  <c r="B47" i="11"/>
  <c r="B46" i="11"/>
  <c r="B45" i="11"/>
  <c r="D45" i="11"/>
  <c r="B44" i="11"/>
  <c r="B43" i="11"/>
  <c r="B42" i="11"/>
  <c r="B41" i="11"/>
  <c r="D41" i="11"/>
  <c r="B40" i="11"/>
  <c r="B39" i="11"/>
  <c r="B38" i="11"/>
  <c r="B37" i="11"/>
  <c r="D37" i="11"/>
  <c r="K11" i="11"/>
  <c r="E12" i="11"/>
  <c r="E10" i="11"/>
  <c r="E13" i="11"/>
  <c r="B49" i="7"/>
  <c r="D49" i="7"/>
  <c r="B48" i="7"/>
  <c r="B47" i="7"/>
  <c r="B46" i="7"/>
  <c r="B45" i="7"/>
  <c r="D45" i="7"/>
  <c r="B44" i="7"/>
  <c r="B43" i="7"/>
  <c r="B42" i="7"/>
  <c r="B41" i="7"/>
  <c r="D41" i="7"/>
  <c r="B40" i="7"/>
  <c r="D40" i="7"/>
  <c r="B39" i="7"/>
  <c r="D39" i="7"/>
  <c r="B38" i="7"/>
  <c r="B37" i="7"/>
  <c r="K11" i="7"/>
  <c r="E12" i="7"/>
  <c r="E10" i="7"/>
  <c r="E13" i="7"/>
  <c r="B49" i="10"/>
  <c r="D49" i="10"/>
  <c r="B48" i="10"/>
  <c r="D48" i="10"/>
  <c r="B47" i="10"/>
  <c r="B46" i="10"/>
  <c r="B45" i="10"/>
  <c r="D45" i="10"/>
  <c r="B44" i="10"/>
  <c r="B43" i="10"/>
  <c r="D43" i="10"/>
  <c r="B42" i="10"/>
  <c r="B41" i="10"/>
  <c r="D41" i="10"/>
  <c r="B40" i="10"/>
  <c r="D40" i="10"/>
  <c r="B39" i="10"/>
  <c r="D39" i="10"/>
  <c r="B38" i="10"/>
  <c r="D37" i="10"/>
  <c r="E11" i="10"/>
  <c r="H18" i="10"/>
  <c r="B49" i="8"/>
  <c r="B48" i="8"/>
  <c r="D48" i="8"/>
  <c r="B47" i="8"/>
  <c r="D47" i="8"/>
  <c r="B46" i="8"/>
  <c r="B45" i="8"/>
  <c r="B44" i="8"/>
  <c r="B43" i="8"/>
  <c r="B42" i="8"/>
  <c r="D42" i="8"/>
  <c r="B41" i="8"/>
  <c r="B40" i="8"/>
  <c r="D40" i="8"/>
  <c r="B39" i="8"/>
  <c r="B38" i="8"/>
  <c r="D38" i="8"/>
  <c r="B37" i="8"/>
  <c r="D37" i="8"/>
  <c r="K11" i="8"/>
  <c r="E11" i="8"/>
  <c r="E12" i="8"/>
  <c r="E10" i="8"/>
  <c r="E13" i="8"/>
  <c r="B49" i="17"/>
  <c r="B48" i="17"/>
  <c r="D48" i="17"/>
  <c r="B47" i="17"/>
  <c r="B46" i="17"/>
  <c r="D46" i="17"/>
  <c r="B45" i="17"/>
  <c r="D45" i="17"/>
  <c r="B44" i="17"/>
  <c r="B43" i="17"/>
  <c r="B42" i="17"/>
  <c r="D42" i="17"/>
  <c r="B41" i="17"/>
  <c r="B40" i="17"/>
  <c r="D40" i="17"/>
  <c r="B39" i="17"/>
  <c r="D39" i="17"/>
  <c r="B38" i="17"/>
  <c r="D38" i="17"/>
  <c r="B37" i="17"/>
  <c r="K11" i="17"/>
  <c r="E11" i="17"/>
  <c r="E12" i="17"/>
  <c r="E10" i="17"/>
  <c r="E13" i="17"/>
  <c r="B49" i="18"/>
  <c r="B48" i="18"/>
  <c r="D48" i="18"/>
  <c r="B47" i="18"/>
  <c r="D47" i="18"/>
  <c r="B46" i="18"/>
  <c r="D46" i="18"/>
  <c r="B45" i="18"/>
  <c r="B44" i="18"/>
  <c r="B43" i="18"/>
  <c r="D43" i="18"/>
  <c r="B42" i="18"/>
  <c r="B41" i="18"/>
  <c r="D41" i="18"/>
  <c r="B40" i="18"/>
  <c r="D40" i="18"/>
  <c r="B39" i="18"/>
  <c r="B38" i="18"/>
  <c r="D38" i="18"/>
  <c r="B37" i="18"/>
  <c r="D37" i="18"/>
  <c r="K11" i="18"/>
  <c r="E11" i="18"/>
  <c r="H32" i="18"/>
  <c r="E12" i="18"/>
  <c r="E10" i="18"/>
  <c r="B49" i="19"/>
  <c r="D49" i="19"/>
  <c r="B48" i="19"/>
  <c r="B47" i="19"/>
  <c r="B46" i="19"/>
  <c r="B45" i="19"/>
  <c r="D45" i="19"/>
  <c r="B44" i="19"/>
  <c r="B43" i="19"/>
  <c r="B42" i="19"/>
  <c r="D42" i="19"/>
  <c r="B41" i="19"/>
  <c r="B40" i="19"/>
  <c r="D40" i="19"/>
  <c r="B39" i="19"/>
  <c r="D39" i="19"/>
  <c r="B38" i="19"/>
  <c r="B37" i="19"/>
  <c r="K11" i="19"/>
  <c r="E11" i="19"/>
  <c r="E12" i="19"/>
  <c r="E10" i="19"/>
  <c r="E13" i="19"/>
  <c r="B49" i="20"/>
  <c r="B48" i="20"/>
  <c r="D48" i="20"/>
  <c r="B47" i="20"/>
  <c r="D47" i="20"/>
  <c r="B46" i="20"/>
  <c r="B45" i="20"/>
  <c r="B44" i="20"/>
  <c r="B43" i="20"/>
  <c r="B42" i="20"/>
  <c r="D42" i="20"/>
  <c r="B41" i="20"/>
  <c r="D41" i="20"/>
  <c r="B40" i="20"/>
  <c r="D40" i="20"/>
  <c r="B39" i="20"/>
  <c r="B38" i="20"/>
  <c r="D38" i="20"/>
  <c r="B37" i="20"/>
  <c r="E12" i="20"/>
  <c r="E7" i="16"/>
  <c r="E7" i="14"/>
  <c r="H21" i="14"/>
  <c r="E7" i="13"/>
  <c r="E7" i="17"/>
  <c r="E7" i="18"/>
  <c r="E10" i="20"/>
  <c r="E13" i="20"/>
  <c r="E7" i="4"/>
  <c r="E7" i="12"/>
  <c r="H22" i="12"/>
  <c r="E7" i="6"/>
  <c r="E7" i="11"/>
  <c r="H16" i="11"/>
  <c r="E7" i="7"/>
  <c r="E7" i="19"/>
  <c r="E7" i="20"/>
  <c r="H16" i="20"/>
  <c r="E9" i="18"/>
  <c r="H17" i="18"/>
  <c r="D39" i="18"/>
  <c r="D42" i="18"/>
  <c r="D45" i="18"/>
  <c r="D49" i="18"/>
  <c r="E9" i="17"/>
  <c r="H17" i="17"/>
  <c r="D37" i="17"/>
  <c r="D41" i="17"/>
  <c r="D43" i="17"/>
  <c r="D47" i="17"/>
  <c r="D49" i="17"/>
  <c r="E9" i="8"/>
  <c r="H17" i="8"/>
  <c r="D32" i="8"/>
  <c r="D39" i="8"/>
  <c r="D41" i="8"/>
  <c r="D43" i="8"/>
  <c r="D45" i="8"/>
  <c r="D46" i="8"/>
  <c r="D49" i="8"/>
  <c r="E9" i="10"/>
  <c r="D38" i="10"/>
  <c r="D42" i="10"/>
  <c r="D46" i="10"/>
  <c r="D47" i="10"/>
  <c r="E11" i="7"/>
  <c r="E9" i="7"/>
  <c r="H17" i="7"/>
  <c r="D37" i="7"/>
  <c r="D38" i="7"/>
  <c r="D42" i="7"/>
  <c r="D43" i="7"/>
  <c r="D46" i="7"/>
  <c r="D47" i="7"/>
  <c r="D48" i="7"/>
  <c r="E11" i="11"/>
  <c r="E9" i="11"/>
  <c r="H17" i="11"/>
  <c r="D38" i="11"/>
  <c r="D39" i="11"/>
  <c r="D40" i="11"/>
  <c r="D42" i="11"/>
  <c r="D43" i="11"/>
  <c r="D46" i="11"/>
  <c r="D47" i="11"/>
  <c r="E11" i="6"/>
  <c r="E9" i="6"/>
  <c r="H17" i="6"/>
  <c r="D38" i="6"/>
  <c r="D39" i="6"/>
  <c r="D40" i="6"/>
  <c r="D42" i="6"/>
  <c r="D43" i="6"/>
  <c r="D46" i="6"/>
  <c r="E9" i="12"/>
  <c r="H17" i="12"/>
  <c r="D38" i="12"/>
  <c r="D40" i="12"/>
  <c r="D41" i="12"/>
  <c r="D42" i="12"/>
  <c r="D45" i="12"/>
  <c r="D46" i="12"/>
  <c r="E11" i="13"/>
  <c r="E9" i="13"/>
  <c r="H17" i="13"/>
  <c r="D38" i="13"/>
  <c r="D39" i="13"/>
  <c r="D41" i="13"/>
  <c r="D42" i="13"/>
  <c r="D47" i="13"/>
  <c r="D48" i="13"/>
  <c r="E11" i="4"/>
  <c r="H16" i="4"/>
  <c r="E9" i="4"/>
  <c r="H17" i="4"/>
  <c r="D38" i="4"/>
  <c r="D39" i="4"/>
  <c r="D40" i="4"/>
  <c r="D42" i="4"/>
  <c r="D45" i="4"/>
  <c r="D46" i="4"/>
  <c r="D48" i="4"/>
  <c r="D49" i="4"/>
  <c r="E9" i="14"/>
  <c r="H17" i="14"/>
  <c r="C44" i="14"/>
  <c r="D44" i="14"/>
  <c r="D51" i="14"/>
  <c r="D37" i="14"/>
  <c r="D40" i="14"/>
  <c r="D41" i="14"/>
  <c r="D43" i="14"/>
  <c r="D45" i="14"/>
  <c r="D46" i="14"/>
  <c r="D47" i="14"/>
  <c r="D48" i="14"/>
  <c r="D49" i="14"/>
  <c r="E9" i="16"/>
  <c r="H17" i="16"/>
  <c r="D40" i="16"/>
  <c r="D41" i="16"/>
  <c r="D42" i="16"/>
  <c r="D45" i="16"/>
  <c r="D46" i="16"/>
  <c r="D47" i="16"/>
  <c r="E9" i="19"/>
  <c r="D37" i="19"/>
  <c r="D38" i="19"/>
  <c r="D41" i="19"/>
  <c r="D43" i="19"/>
  <c r="D46" i="19"/>
  <c r="D47" i="19"/>
  <c r="D48" i="19"/>
  <c r="E8" i="10"/>
  <c r="E8" i="12"/>
  <c r="E9" i="20"/>
  <c r="H17" i="20"/>
  <c r="D37" i="20"/>
  <c r="D39" i="20"/>
  <c r="D43" i="20"/>
  <c r="D45" i="20"/>
  <c r="D46" i="20"/>
  <c r="D49" i="20"/>
  <c r="E8" i="20"/>
  <c r="E8" i="19"/>
  <c r="E8" i="18"/>
  <c r="E8" i="17"/>
  <c r="H21" i="17"/>
  <c r="E8" i="8"/>
  <c r="E8" i="7"/>
  <c r="H21" i="7"/>
  <c r="H22" i="7"/>
  <c r="E8" i="11"/>
  <c r="H22" i="11"/>
  <c r="E8" i="6"/>
  <c r="H21" i="6"/>
  <c r="H22" i="6"/>
  <c r="E8" i="13"/>
  <c r="H21" i="13"/>
  <c r="E8" i="4"/>
  <c r="H21" i="4"/>
  <c r="H22" i="4"/>
  <c r="E8" i="14"/>
  <c r="H22" i="14"/>
  <c r="E8" i="16"/>
  <c r="H21" i="16"/>
  <c r="H32" i="16"/>
  <c r="H32" i="4"/>
  <c r="H31" i="4"/>
  <c r="H18" i="4"/>
  <c r="H31" i="13"/>
  <c r="H18" i="13"/>
  <c r="H32" i="12"/>
  <c r="H31" i="12"/>
  <c r="H18" i="12"/>
  <c r="H32" i="11"/>
  <c r="H31" i="11"/>
  <c r="H18" i="11"/>
  <c r="H18" i="7"/>
  <c r="H32" i="20"/>
  <c r="H31" i="20"/>
  <c r="H18" i="20"/>
  <c r="H31" i="19"/>
  <c r="H32" i="17"/>
  <c r="H18" i="8"/>
  <c r="H18" i="14"/>
  <c r="H21" i="11"/>
  <c r="H22" i="17"/>
  <c r="H21" i="12"/>
  <c r="H32" i="13"/>
  <c r="H22" i="19"/>
  <c r="H21" i="19"/>
  <c r="H16" i="12"/>
  <c r="H32" i="22"/>
  <c r="H18" i="22"/>
  <c r="H21" i="22"/>
  <c r="H22" i="20"/>
  <c r="H31" i="10"/>
  <c r="H32" i="10"/>
  <c r="H16" i="10"/>
  <c r="H17" i="10"/>
  <c r="H19" i="10"/>
  <c r="H21" i="20"/>
  <c r="H22" i="10"/>
  <c r="H21" i="10"/>
  <c r="H23" i="10"/>
  <c r="H24" i="10"/>
  <c r="I17" i="10"/>
  <c r="H21" i="18"/>
  <c r="H22" i="18"/>
  <c r="E13" i="18"/>
  <c r="H32" i="6"/>
  <c r="H31" i="6"/>
  <c r="H16" i="6"/>
  <c r="H18" i="6"/>
  <c r="H16" i="16"/>
  <c r="H22" i="16"/>
  <c r="H31" i="8"/>
  <c r="H32" i="8"/>
  <c r="H21" i="8"/>
  <c r="H22" i="8"/>
  <c r="H16" i="8"/>
  <c r="H18" i="18"/>
  <c r="H16" i="18"/>
  <c r="H31" i="18"/>
  <c r="H22" i="13"/>
  <c r="H16" i="13"/>
  <c r="H16" i="19"/>
  <c r="H17" i="19"/>
  <c r="L31" i="19"/>
  <c r="H18" i="19"/>
  <c r="H32" i="19"/>
  <c r="H31" i="7"/>
  <c r="H16" i="7"/>
  <c r="H32" i="7"/>
  <c r="H18" i="17"/>
  <c r="H31" i="17"/>
  <c r="H16" i="17"/>
  <c r="H16" i="14"/>
  <c r="H31" i="14"/>
  <c r="H32" i="14"/>
  <c r="H31" i="16"/>
  <c r="H18" i="16"/>
  <c r="C44" i="10"/>
  <c r="D44" i="10"/>
  <c r="D51" i="10"/>
  <c r="H31" i="24"/>
  <c r="H18" i="24"/>
  <c r="H16" i="24"/>
  <c r="H17" i="24"/>
  <c r="H22" i="24"/>
  <c r="H21" i="24"/>
  <c r="E13" i="24"/>
  <c r="H23" i="8"/>
  <c r="H24" i="8"/>
  <c r="C44" i="8"/>
  <c r="D44" i="8"/>
  <c r="D51" i="8"/>
  <c r="H19" i="19"/>
  <c r="L31" i="10"/>
  <c r="H23" i="14"/>
  <c r="H24" i="14"/>
  <c r="H23" i="18"/>
  <c r="H24" i="18"/>
  <c r="I17" i="18"/>
  <c r="D32" i="18"/>
  <c r="C44" i="18"/>
  <c r="D44" i="18"/>
  <c r="D51" i="18"/>
  <c r="H19" i="18"/>
  <c r="L31" i="18"/>
  <c r="D33" i="18"/>
  <c r="D31" i="18"/>
  <c r="L31" i="20"/>
  <c r="I17" i="20"/>
  <c r="C44" i="20"/>
  <c r="D44" i="20"/>
  <c r="D51" i="20"/>
  <c r="D31" i="20"/>
  <c r="D32" i="20"/>
  <c r="L31" i="4"/>
  <c r="C44" i="4"/>
  <c r="D44" i="4"/>
  <c r="D51" i="4"/>
  <c r="D33" i="4"/>
  <c r="D31" i="4"/>
  <c r="I17" i="4"/>
  <c r="D32" i="4"/>
  <c r="L31" i="6"/>
  <c r="D32" i="6"/>
  <c r="D33" i="6"/>
  <c r="I17" i="6"/>
  <c r="H19" i="6"/>
  <c r="C44" i="6"/>
  <c r="D44" i="6"/>
  <c r="D51" i="6"/>
  <c r="D31" i="10"/>
  <c r="D33" i="10"/>
  <c r="D32" i="10"/>
  <c r="H23" i="19"/>
  <c r="H24" i="19"/>
  <c r="H23" i="6"/>
  <c r="H24" i="6"/>
  <c r="I17" i="16"/>
  <c r="L31" i="16"/>
  <c r="D32" i="16"/>
  <c r="D31" i="16"/>
  <c r="H23" i="16"/>
  <c r="H24" i="16"/>
  <c r="D33" i="16"/>
  <c r="L31" i="13"/>
  <c r="C44" i="13"/>
  <c r="D44" i="13"/>
  <c r="D51" i="13"/>
  <c r="D31" i="13"/>
  <c r="H19" i="13"/>
  <c r="H23" i="13"/>
  <c r="H24" i="13"/>
  <c r="I17" i="13"/>
  <c r="D33" i="13"/>
  <c r="D31" i="12"/>
  <c r="I17" i="12"/>
  <c r="C44" i="12"/>
  <c r="D44" i="12"/>
  <c r="D51" i="12"/>
  <c r="H19" i="12"/>
  <c r="L31" i="12"/>
  <c r="D32" i="11"/>
  <c r="I17" i="11"/>
  <c r="D31" i="11"/>
  <c r="H23" i="11"/>
  <c r="H24" i="11"/>
  <c r="C44" i="11"/>
  <c r="D44" i="11"/>
  <c r="D51" i="11"/>
  <c r="D33" i="11"/>
  <c r="H23" i="17"/>
  <c r="H24" i="17"/>
  <c r="D31" i="17"/>
  <c r="I17" i="17"/>
  <c r="H19" i="17"/>
  <c r="L31" i="17"/>
  <c r="C44" i="17"/>
  <c r="D44" i="17"/>
  <c r="D51" i="17"/>
  <c r="D32" i="17"/>
  <c r="I17" i="22"/>
  <c r="H19" i="22"/>
  <c r="D32" i="22"/>
  <c r="L31" i="22"/>
  <c r="D33" i="22"/>
  <c r="D31" i="22"/>
  <c r="C44" i="16"/>
  <c r="D44" i="16"/>
  <c r="D51" i="16"/>
  <c r="H23" i="12"/>
  <c r="H24" i="12"/>
  <c r="H19" i="8"/>
  <c r="I17" i="8"/>
  <c r="L31" i="8"/>
  <c r="D31" i="8"/>
  <c r="H23" i="7"/>
  <c r="H24" i="7"/>
  <c r="I17" i="7"/>
  <c r="D31" i="7"/>
  <c r="D32" i="7"/>
  <c r="L31" i="7"/>
  <c r="H19" i="7"/>
  <c r="C44" i="7"/>
  <c r="D44" i="7"/>
  <c r="D51" i="7"/>
  <c r="D33" i="7"/>
  <c r="D33" i="8"/>
  <c r="H19" i="16"/>
  <c r="D32" i="12"/>
  <c r="D33" i="19"/>
  <c r="C44" i="19"/>
  <c r="D44" i="19"/>
  <c r="D51" i="19"/>
  <c r="I17" i="19"/>
  <c r="D31" i="19"/>
  <c r="D32" i="19"/>
  <c r="L31" i="11"/>
  <c r="H23" i="4"/>
  <c r="H24" i="4"/>
  <c r="D33" i="17"/>
  <c r="D32" i="13"/>
  <c r="D33" i="12"/>
  <c r="I17" i="14"/>
  <c r="D31" i="14"/>
  <c r="D32" i="14"/>
  <c r="L31" i="14"/>
  <c r="D33" i="14"/>
  <c r="H19" i="14"/>
  <c r="H23" i="22"/>
  <c r="H24" i="22"/>
  <c r="H19" i="11"/>
  <c r="D31" i="6"/>
  <c r="H19" i="4"/>
  <c r="H19" i="20"/>
  <c r="H23" i="20"/>
  <c r="H24" i="20"/>
  <c r="D33" i="20"/>
  <c r="H31" i="26"/>
  <c r="H18" i="31"/>
  <c r="H16" i="31"/>
  <c r="H17" i="31" s="1"/>
  <c r="H32" i="31"/>
  <c r="H22" i="32"/>
  <c r="H21" i="32"/>
  <c r="H31" i="31"/>
  <c r="H31" i="36"/>
  <c r="H16" i="36"/>
  <c r="H17" i="36"/>
  <c r="D31" i="36" s="1"/>
  <c r="H21" i="37"/>
  <c r="H22" i="37"/>
  <c r="H31" i="32"/>
  <c r="H32" i="38"/>
  <c r="H18" i="29"/>
  <c r="H31" i="38"/>
  <c r="H18" i="38"/>
  <c r="H18" i="39"/>
  <c r="H16" i="39"/>
  <c r="H17" i="39"/>
  <c r="D31" i="39" s="1"/>
  <c r="H21" i="29"/>
  <c r="H22" i="29"/>
  <c r="H31" i="33"/>
  <c r="H21" i="33"/>
  <c r="H22" i="33"/>
  <c r="H31" i="40"/>
  <c r="H18" i="40"/>
  <c r="D33" i="40"/>
  <c r="D31" i="40"/>
  <c r="I17" i="40"/>
  <c r="C44" i="40"/>
  <c r="D44" i="40" s="1"/>
  <c r="D51" i="40" s="1"/>
  <c r="D32" i="40"/>
  <c r="H23" i="40"/>
  <c r="H24" i="40" s="1"/>
  <c r="I17" i="39"/>
  <c r="C44" i="38"/>
  <c r="D44" i="38" s="1"/>
  <c r="D51" i="38" s="1"/>
  <c r="H23" i="38"/>
  <c r="H24" i="38" s="1"/>
  <c r="D32" i="38"/>
  <c r="L31" i="38"/>
  <c r="D33" i="38"/>
  <c r="I17" i="38"/>
  <c r="H18" i="37"/>
  <c r="H31" i="37"/>
  <c r="H16" i="37"/>
  <c r="H17" i="37" s="1"/>
  <c r="H32" i="36"/>
  <c r="L31" i="36"/>
  <c r="C44" i="36"/>
  <c r="D44" i="36" s="1"/>
  <c r="D51" i="36" s="1"/>
  <c r="H19" i="36"/>
  <c r="D33" i="36"/>
  <c r="D32" i="36"/>
  <c r="H16" i="35"/>
  <c r="H17" i="35" s="1"/>
  <c r="H32" i="35"/>
  <c r="H18" i="35"/>
  <c r="H16" i="34"/>
  <c r="H17" i="34"/>
  <c r="I17" i="34" s="1"/>
  <c r="H18" i="34"/>
  <c r="C44" i="34"/>
  <c r="D44" i="34" s="1"/>
  <c r="D51" i="34" s="1"/>
  <c r="D32" i="33"/>
  <c r="H23" i="33"/>
  <c r="H24" i="33" s="1"/>
  <c r="H19" i="33"/>
  <c r="D31" i="33"/>
  <c r="H32" i="33"/>
  <c r="C44" i="33"/>
  <c r="D44" i="33" s="1"/>
  <c r="D51" i="33" s="1"/>
  <c r="L31" i="33"/>
  <c r="D33" i="33"/>
  <c r="I17" i="32"/>
  <c r="D31" i="32"/>
  <c r="H32" i="32"/>
  <c r="H18" i="32"/>
  <c r="C44" i="32"/>
  <c r="D44" i="32"/>
  <c r="D51" i="32" s="1"/>
  <c r="H23" i="32"/>
  <c r="H24" i="32" s="1"/>
  <c r="D32" i="32"/>
  <c r="D33" i="32"/>
  <c r="L31" i="32"/>
  <c r="H19" i="32"/>
  <c r="C44" i="29"/>
  <c r="D44" i="29" s="1"/>
  <c r="D51" i="29" s="1"/>
  <c r="H18" i="28"/>
  <c r="H16" i="28"/>
  <c r="H17" i="28"/>
  <c r="H32" i="28"/>
  <c r="L31" i="27"/>
  <c r="C44" i="27"/>
  <c r="D44" i="27"/>
  <c r="D51" i="27"/>
  <c r="D33" i="27"/>
  <c r="H23" i="27"/>
  <c r="H24" i="27" s="1"/>
  <c r="H18" i="26"/>
  <c r="H32" i="26"/>
  <c r="H21" i="26"/>
  <c r="H22" i="26"/>
  <c r="H31" i="25"/>
  <c r="H32" i="25"/>
  <c r="H18" i="25"/>
  <c r="H22" i="25"/>
  <c r="H21" i="25"/>
  <c r="E13" i="25"/>
  <c r="H19" i="24"/>
  <c r="I17" i="24"/>
  <c r="D33" i="24"/>
  <c r="L31" i="24"/>
  <c r="C44" i="24"/>
  <c r="D44" i="24"/>
  <c r="D51" i="24"/>
  <c r="H23" i="24"/>
  <c r="D32" i="24"/>
  <c r="D31" i="24"/>
  <c r="D31" i="34"/>
  <c r="D33" i="34"/>
  <c r="H19" i="34"/>
  <c r="H19" i="28"/>
  <c r="D31" i="28"/>
  <c r="F26" i="3"/>
  <c r="F32" i="3"/>
  <c r="F34" i="3"/>
  <c r="F39" i="3" s="1"/>
  <c r="H24" i="24"/>
  <c r="L31" i="40" l="1"/>
  <c r="D31" i="38"/>
  <c r="H23" i="36"/>
  <c r="H24" i="36" s="1"/>
  <c r="D32" i="29"/>
  <c r="H23" i="28"/>
  <c r="H24" i="28" s="1"/>
  <c r="D31" i="27"/>
  <c r="H19" i="27"/>
  <c r="H23" i="25"/>
  <c r="H24" i="25" s="1"/>
  <c r="D32" i="25"/>
  <c r="D31" i="25"/>
  <c r="L31" i="25"/>
  <c r="D33" i="25"/>
  <c r="H19" i="25"/>
  <c r="C44" i="25"/>
  <c r="D44" i="25" s="1"/>
  <c r="D51" i="25" s="1"/>
  <c r="I17" i="25"/>
  <c r="C44" i="26"/>
  <c r="D44" i="26" s="1"/>
  <c r="D51" i="26" s="1"/>
  <c r="I17" i="26"/>
  <c r="L31" i="26"/>
  <c r="D31" i="26"/>
  <c r="H23" i="26"/>
  <c r="H24" i="26" s="1"/>
  <c r="D33" i="26"/>
  <c r="H19" i="26"/>
  <c r="D32" i="26"/>
  <c r="D32" i="27"/>
  <c r="I17" i="28"/>
  <c r="L31" i="28"/>
  <c r="C44" i="28"/>
  <c r="D44" i="28" s="1"/>
  <c r="D51" i="28" s="1"/>
  <c r="D32" i="28"/>
  <c r="D33" i="28"/>
  <c r="D33" i="29"/>
  <c r="H23" i="29"/>
  <c r="H24" i="29" s="1"/>
  <c r="L31" i="29"/>
  <c r="H19" i="29"/>
  <c r="I17" i="29"/>
  <c r="H19" i="30"/>
  <c r="L31" i="30"/>
  <c r="D33" i="30"/>
  <c r="H23" i="30"/>
  <c r="H24" i="30" s="1"/>
  <c r="D31" i="30"/>
  <c r="I17" i="30"/>
  <c r="C44" i="30"/>
  <c r="D44" i="30" s="1"/>
  <c r="D51" i="30" s="1"/>
  <c r="D32" i="30"/>
  <c r="L31" i="31"/>
  <c r="C44" i="31"/>
  <c r="D44" i="31" s="1"/>
  <c r="D51" i="31" s="1"/>
  <c r="H19" i="31"/>
  <c r="H23" i="31"/>
  <c r="H24" i="31" s="1"/>
  <c r="D33" i="31"/>
  <c r="I17" i="31"/>
  <c r="D32" i="31"/>
  <c r="D31" i="31"/>
  <c r="L31" i="34"/>
  <c r="H23" i="34"/>
  <c r="H24" i="34" s="1"/>
  <c r="D32" i="34"/>
  <c r="I17" i="35"/>
  <c r="C44" i="35"/>
  <c r="D44" i="35" s="1"/>
  <c r="D51" i="35" s="1"/>
  <c r="L31" i="35"/>
  <c r="D33" i="35"/>
  <c r="D32" i="35"/>
  <c r="D31" i="35"/>
  <c r="H23" i="35"/>
  <c r="H24" i="35" s="1"/>
  <c r="H19" i="35"/>
  <c r="I17" i="36"/>
  <c r="D32" i="37"/>
  <c r="H19" i="37"/>
  <c r="C44" i="37"/>
  <c r="D44" i="37" s="1"/>
  <c r="D51" i="37" s="1"/>
  <c r="L31" i="37"/>
  <c r="H23" i="37"/>
  <c r="H24" i="37" s="1"/>
  <c r="D31" i="37"/>
  <c r="I17" i="37"/>
  <c r="D33" i="37"/>
  <c r="H23" i="39"/>
  <c r="H24" i="39" s="1"/>
  <c r="H19" i="39"/>
  <c r="L31" i="39"/>
  <c r="D33" i="39"/>
  <c r="C44" i="39"/>
  <c r="D44" i="39" s="1"/>
  <c r="D51" i="39" s="1"/>
  <c r="D32" i="39"/>
  <c r="F44" i="3" l="1"/>
  <c r="F50" i="3" s="1"/>
  <c r="F52" i="3" s="1"/>
  <c r="F54" i="3" s="1"/>
</calcChain>
</file>

<file path=xl/sharedStrings.xml><?xml version="1.0" encoding="utf-8"?>
<sst xmlns="http://schemas.openxmlformats.org/spreadsheetml/2006/main" count="2817" uniqueCount="128">
  <si>
    <t>Calculation pressure loss in liquid pipelines</t>
  </si>
  <si>
    <t>Result of calculation :</t>
  </si>
  <si>
    <t xml:space="preserve"> m/sec</t>
  </si>
  <si>
    <t>Velocity :</t>
  </si>
  <si>
    <r>
      <t xml:space="preserve">Q   = </t>
    </r>
    <r>
      <rPr>
        <sz val="10"/>
        <rFont val="Arial"/>
        <family val="2"/>
      </rPr>
      <t>flow of liquid in m3/h</t>
    </r>
  </si>
  <si>
    <r>
      <t xml:space="preserve">q   = </t>
    </r>
    <r>
      <rPr>
        <sz val="10"/>
        <rFont val="Arial"/>
        <family val="2"/>
      </rPr>
      <t>specific weight of liquid in kg/m3</t>
    </r>
  </si>
  <si>
    <r>
      <t xml:space="preserve">L   </t>
    </r>
    <r>
      <rPr>
        <sz val="10"/>
        <rFont val="Arial"/>
        <family val="2"/>
      </rPr>
      <t>= length of straight pipe in m</t>
    </r>
  </si>
  <si>
    <r>
      <t xml:space="preserve">D  </t>
    </r>
    <r>
      <rPr>
        <sz val="10"/>
        <rFont val="Arial"/>
        <family val="2"/>
      </rPr>
      <t xml:space="preserve"> = diameter inside in mm</t>
    </r>
  </si>
  <si>
    <r>
      <t xml:space="preserve">S  </t>
    </r>
    <r>
      <rPr>
        <sz val="10"/>
        <rFont val="Arial"/>
        <family val="2"/>
      </rPr>
      <t xml:space="preserve"> = total of resistant value</t>
    </r>
  </si>
  <si>
    <r>
      <t xml:space="preserve">Kv = </t>
    </r>
    <r>
      <rPr>
        <sz val="10"/>
        <rFont val="Arial"/>
        <family val="2"/>
      </rPr>
      <t>kinematic viscosity in cst</t>
    </r>
  </si>
  <si>
    <t>Reynolds nr :(&gt;2320 = turb.flow)</t>
  </si>
  <si>
    <t>kg/m3</t>
  </si>
  <si>
    <t>m</t>
  </si>
  <si>
    <t>mm</t>
  </si>
  <si>
    <r>
      <t>M  =</t>
    </r>
    <r>
      <rPr>
        <sz val="10"/>
        <rFont val="Arial"/>
        <family val="2"/>
      </rPr>
      <t xml:space="preserve"> material of pipe (1=steel , 2=non steel)</t>
    </r>
  </si>
  <si>
    <t>m.w.c.</t>
  </si>
  <si>
    <t xml:space="preserve"> </t>
  </si>
  <si>
    <t>mm2/s</t>
  </si>
  <si>
    <t>hydraulisch glad</t>
  </si>
  <si>
    <t>p=rho*g*H</t>
  </si>
  <si>
    <t>H=p/(rho*g)</t>
  </si>
  <si>
    <t>ruw</t>
  </si>
  <si>
    <t>Re.k/d&lt;65</t>
  </si>
  <si>
    <t>overgangsgebied</t>
  </si>
  <si>
    <t>k st</t>
  </si>
  <si>
    <t>k pvc</t>
  </si>
  <si>
    <t>Re.k/d</t>
  </si>
  <si>
    <t>4.58a</t>
  </si>
  <si>
    <t>y</t>
  </si>
  <si>
    <t>4.58b</t>
  </si>
  <si>
    <t>4.59a</t>
  </si>
  <si>
    <t>4.59b</t>
  </si>
  <si>
    <t>k/d</t>
  </si>
  <si>
    <t>4.58d</t>
  </si>
  <si>
    <t>4.60</t>
  </si>
  <si>
    <t>Re.k/d&gt;1300</t>
  </si>
  <si>
    <t>65&lt;Re.k/d&lt;1300</t>
  </si>
  <si>
    <t>Nikuradse</t>
  </si>
  <si>
    <t>Moody</t>
  </si>
  <si>
    <t>Blasius</t>
  </si>
  <si>
    <t>Hermann</t>
  </si>
  <si>
    <t>check</t>
  </si>
  <si>
    <t>Re</t>
  </si>
  <si>
    <t>&lt;1e5</t>
  </si>
  <si>
    <t>1e5-5e6</t>
  </si>
  <si>
    <t>&lt;2e6</t>
  </si>
  <si>
    <t>total</t>
  </si>
  <si>
    <t>S</t>
  </si>
  <si>
    <t>zeta</t>
  </si>
  <si>
    <t>amount</t>
  </si>
  <si>
    <t>zeta total</t>
  </si>
  <si>
    <t>bend 90 gr</t>
  </si>
  <si>
    <t>bar</t>
  </si>
  <si>
    <t>check vlv</t>
  </si>
  <si>
    <t>but fl vlv</t>
  </si>
  <si>
    <t xml:space="preserve">dp piping </t>
  </si>
  <si>
    <t>inlet</t>
  </si>
  <si>
    <t>filter</t>
  </si>
  <si>
    <t>remark</t>
  </si>
  <si>
    <t>diverter</t>
  </si>
  <si>
    <t>reducer</t>
  </si>
  <si>
    <t>bellow</t>
  </si>
  <si>
    <t>globe valve</t>
  </si>
  <si>
    <t>branch 180g</t>
  </si>
  <si>
    <t>branch 90g</t>
  </si>
  <si>
    <t>total system pressure loss</t>
  </si>
  <si>
    <t>Kv</t>
  </si>
  <si>
    <t>q</t>
  </si>
  <si>
    <t>DN</t>
  </si>
  <si>
    <t>NORMAL</t>
  </si>
  <si>
    <t>HEAVY</t>
  </si>
  <si>
    <t>EXTRA</t>
  </si>
  <si>
    <t>pipe dimension:</t>
  </si>
  <si>
    <t>cst-mm2/s</t>
  </si>
  <si>
    <t>1=normal(C100), 2=heavy(C105), 3=extra(C110)</t>
  </si>
  <si>
    <r>
      <t>V</t>
    </r>
    <r>
      <rPr>
        <sz val="10"/>
        <rFont val="Arial"/>
        <family val="2"/>
      </rPr>
      <t xml:space="preserve"> = Q / 3600 / 0.785 x D x D  = </t>
    </r>
  </si>
  <si>
    <r>
      <t>Re =</t>
    </r>
    <r>
      <rPr>
        <sz val="10"/>
        <rFont val="Arial"/>
        <family val="2"/>
      </rPr>
      <t xml:space="preserve"> V x D / Kv  = </t>
    </r>
  </si>
  <si>
    <t xml:space="preserve">y =  64 / Re =    </t>
  </si>
  <si>
    <r>
      <t>Resistant coefficient :(Laminar flow)</t>
    </r>
    <r>
      <rPr>
        <sz val="10"/>
        <rFont val="Arial"/>
        <family val="2"/>
      </rPr>
      <t xml:space="preserve">                  </t>
    </r>
  </si>
  <si>
    <t xml:space="preserve">y = 0.0055(1+(20000k/D+10^6/Re)^1/3 =           </t>
  </si>
  <si>
    <t>Resistant coefficient :(Turb. flow)</t>
  </si>
  <si>
    <t>Dp = (yxL/D+S)xqxVxV/(2x100000) =</t>
  </si>
  <si>
    <t>Diff.pressure :</t>
  </si>
  <si>
    <t>kinematic viscosity</t>
  </si>
  <si>
    <t>specific weight</t>
  </si>
  <si>
    <t>fill in values</t>
  </si>
  <si>
    <t>m3/h</t>
  </si>
  <si>
    <t>Summary</t>
  </si>
  <si>
    <t>additional equipment losses:</t>
  </si>
  <si>
    <t>laminar: 3,5 - turbulent: 0,35</t>
  </si>
  <si>
    <t>Pd</t>
  </si>
  <si>
    <t>Pa</t>
  </si>
  <si>
    <t>suction loss check:</t>
  </si>
  <si>
    <t>IHC OFFSHORE &amp; MARINE B.V.</t>
  </si>
  <si>
    <t>flow reg. vlv</t>
  </si>
  <si>
    <t>gate valve</t>
  </si>
  <si>
    <t>(water 38 C)</t>
  </si>
  <si>
    <t>Pwr</t>
  </si>
  <si>
    <t>Pressure loss calculations</t>
  </si>
  <si>
    <t>dp xxx</t>
  </si>
  <si>
    <t>pipe dimension (1=normal(C100), 2=heavy(C105), 3=extra(C110))</t>
  </si>
  <si>
    <t>pump height above base</t>
  </si>
  <si>
    <t>NPSHa = Pa + Pz - Pd - Pwr</t>
  </si>
  <si>
    <t>mlc</t>
  </si>
  <si>
    <t>Pz</t>
  </si>
  <si>
    <t>added margin</t>
  </si>
  <si>
    <t>YARD NR.  :736                            
DRW NR.    :736-000.00-xxx                   
REV. NO.    :0                                       
DATE          :11-3-2015</t>
  </si>
  <si>
    <t>NPSHreq (minimal)</t>
  </si>
  <si>
    <t>Suction side</t>
  </si>
  <si>
    <t>Pressure side</t>
  </si>
  <si>
    <t>Pressure loss before pump</t>
  </si>
  <si>
    <t>Pressure loss after pump</t>
  </si>
  <si>
    <t>dp = differential pressure, which is pressure loss.</t>
  </si>
  <si>
    <t>Suction flange</t>
  </si>
  <si>
    <t>Pressure loss</t>
  </si>
  <si>
    <t>NPSH available</t>
  </si>
  <si>
    <t>NPSH required</t>
  </si>
  <si>
    <t>height</t>
  </si>
  <si>
    <t>Total</t>
  </si>
  <si>
    <t>Vapour pressure of the liquid.</t>
  </si>
  <si>
    <t>Height pressure</t>
  </si>
  <si>
    <t>branch 180g*</t>
  </si>
  <si>
    <t>branch 90g**</t>
  </si>
  <si>
    <t>** a branch 90g is where the liquid takes the branch</t>
  </si>
  <si>
    <t>* a branch 180g is where the liquid passes a branch</t>
  </si>
  <si>
    <t>liquid level</t>
  </si>
  <si>
    <t>Or liquid level height above base, in case of tanks/waterline if drawn from overboard</t>
  </si>
  <si>
    <t>Atmospheric pressure (101325 is standard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</si>
</sst>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E+00"/>
    <numFmt numFmtId="165" formatCode="0.000"/>
    <numFmt numFmtId="166" formatCode="0.0000"/>
    <numFmt numFmtId="167" formatCode="0.0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2"/>
      <name val="Arial"/>
      <family val="2"/>
    </font>
    <font>
      <sz val="10"/>
      <name val="Symbol"/>
      <family val="1"/>
      <charset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0">
    <xf numFmtId="0" fontId="0" fillId="0" borderId="0" xfId="0"/>
    <xf numFmtId="0" fontId="0" fillId="0" borderId="0" xfId="0" applyProtection="1"/>
    <xf numFmtId="2" fontId="0" fillId="0" borderId="0" xfId="0" applyNumberFormat="1" applyProtection="1"/>
    <xf numFmtId="0" fontId="0" fillId="3" borderId="1" xfId="0" applyFill="1" applyBorder="1" applyProtection="1">
      <protection locked="0"/>
    </xf>
    <xf numFmtId="0" fontId="0" fillId="0" borderId="0" xfId="0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left" vertical="center" wrapText="1"/>
    </xf>
    <xf numFmtId="0" fontId="0" fillId="0" borderId="0" xfId="0" applyAlignment="1" applyProtection="1">
      <alignment horizontal="center" vertical="center"/>
    </xf>
    <xf numFmtId="0" fontId="8" fillId="0" borderId="0" xfId="0" applyFont="1" applyProtection="1"/>
    <xf numFmtId="0" fontId="6" fillId="0" borderId="0" xfId="0" applyFont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7" fillId="0" borderId="0" xfId="0" applyFont="1" applyAlignment="1" applyProtection="1">
      <alignment vertical="center"/>
    </xf>
    <xf numFmtId="0" fontId="6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14" fontId="6" fillId="0" borderId="0" xfId="0" applyNumberFormat="1" applyFont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0" fillId="0" borderId="0" xfId="0" applyBorder="1" applyProtection="1"/>
    <xf numFmtId="0" fontId="0" fillId="0" borderId="2" xfId="0" applyBorder="1" applyProtection="1"/>
    <xf numFmtId="0" fontId="1" fillId="0" borderId="0" xfId="0" applyFont="1" applyProtection="1"/>
    <xf numFmtId="0" fontId="2" fillId="3" borderId="1" xfId="0" applyFont="1" applyFill="1" applyBorder="1" applyProtection="1"/>
    <xf numFmtId="0" fontId="0" fillId="0" borderId="0" xfId="0" applyFill="1" applyProtection="1"/>
    <xf numFmtId="0" fontId="0" fillId="0" borderId="0" xfId="0" applyAlignment="1" applyProtection="1">
      <alignment horizontal="left"/>
    </xf>
    <xf numFmtId="0" fontId="2" fillId="0" borderId="0" xfId="0" applyFont="1" applyProtection="1"/>
    <xf numFmtId="2" fontId="0" fillId="0" borderId="0" xfId="0" applyNumberFormat="1" applyFill="1" applyProtection="1"/>
    <xf numFmtId="164" fontId="0" fillId="0" borderId="0" xfId="0" applyNumberFormat="1" applyFill="1" applyProtection="1"/>
    <xf numFmtId="165" fontId="0" fillId="0" borderId="0" xfId="0" applyNumberFormat="1" applyFill="1" applyProtection="1"/>
    <xf numFmtId="166" fontId="0" fillId="0" borderId="0" xfId="0" applyNumberFormat="1" applyFill="1" applyProtection="1"/>
    <xf numFmtId="0" fontId="0" fillId="4" borderId="0" xfId="0" applyFill="1" applyProtection="1"/>
    <xf numFmtId="0" fontId="0" fillId="5" borderId="0" xfId="0" applyFill="1" applyProtection="1"/>
    <xf numFmtId="0" fontId="0" fillId="6" borderId="0" xfId="0" applyFill="1" applyProtection="1"/>
    <xf numFmtId="11" fontId="0" fillId="0" borderId="0" xfId="0" applyNumberFormat="1" applyProtection="1"/>
    <xf numFmtId="1" fontId="0" fillId="0" borderId="0" xfId="0" applyNumberFormat="1" applyProtection="1"/>
    <xf numFmtId="0" fontId="1" fillId="0" borderId="0" xfId="0" applyFont="1" applyBorder="1" applyProtection="1"/>
    <xf numFmtId="0" fontId="0" fillId="0" borderId="0" xfId="0" applyFill="1" applyBorder="1" applyProtection="1"/>
    <xf numFmtId="0" fontId="10" fillId="7" borderId="3" xfId="0" applyFont="1" applyFill="1" applyBorder="1" applyAlignment="1" applyProtection="1">
      <alignment vertical="center"/>
      <protection locked="0"/>
    </xf>
    <xf numFmtId="0" fontId="4" fillId="7" borderId="0" xfId="0" applyFont="1" applyFill="1" applyBorder="1" applyAlignment="1" applyProtection="1">
      <alignment vertical="center"/>
      <protection locked="0"/>
    </xf>
    <xf numFmtId="0" fontId="4" fillId="7" borderId="0" xfId="0" applyFont="1" applyFill="1" applyBorder="1" applyAlignment="1" applyProtection="1">
      <alignment horizontal="center" vertical="center"/>
      <protection locked="0"/>
    </xf>
    <xf numFmtId="0" fontId="6" fillId="7" borderId="0" xfId="0" applyFont="1" applyFill="1" applyBorder="1" applyAlignment="1" applyProtection="1">
      <alignment vertical="center"/>
      <protection locked="0"/>
    </xf>
    <xf numFmtId="0" fontId="11" fillId="7" borderId="0" xfId="0" applyFont="1" applyFill="1" applyBorder="1" applyAlignment="1" applyProtection="1">
      <alignment vertical="center"/>
      <protection locked="0"/>
    </xf>
    <xf numFmtId="0" fontId="4" fillId="7" borderId="4" xfId="0" applyFont="1" applyFill="1" applyBorder="1" applyAlignment="1" applyProtection="1">
      <alignment vertical="center"/>
      <protection locked="0"/>
    </xf>
    <xf numFmtId="0" fontId="11" fillId="7" borderId="4" xfId="0" applyFont="1" applyFill="1" applyBorder="1" applyAlignment="1" applyProtection="1">
      <alignment vertical="center"/>
      <protection locked="0"/>
    </xf>
    <xf numFmtId="0" fontId="8" fillId="0" borderId="0" xfId="0" applyFont="1" applyAlignment="1" applyProtection="1">
      <alignment horizontal="left"/>
    </xf>
    <xf numFmtId="0" fontId="0" fillId="0" borderId="1" xfId="0" applyBorder="1" applyProtection="1"/>
    <xf numFmtId="0" fontId="0" fillId="0" borderId="5" xfId="0" applyBorder="1" applyProtection="1"/>
    <xf numFmtId="0" fontId="0" fillId="0" borderId="6" xfId="0" applyBorder="1" applyProtection="1"/>
    <xf numFmtId="0" fontId="0" fillId="0" borderId="7" xfId="0" applyBorder="1" applyProtection="1"/>
    <xf numFmtId="0" fontId="1" fillId="0" borderId="1" xfId="0" applyFont="1" applyBorder="1" applyProtection="1"/>
    <xf numFmtId="0" fontId="2" fillId="0" borderId="1" xfId="0" applyFont="1" applyBorder="1" applyProtection="1"/>
    <xf numFmtId="0" fontId="0" fillId="0" borderId="1" xfId="0" applyFill="1" applyBorder="1" applyProtection="1"/>
    <xf numFmtId="0" fontId="1" fillId="0" borderId="1" xfId="0" applyFont="1" applyBorder="1"/>
    <xf numFmtId="0" fontId="2" fillId="0" borderId="5" xfId="0" applyFont="1" applyBorder="1" applyProtection="1"/>
    <xf numFmtId="0" fontId="0" fillId="0" borderId="5" xfId="0" applyFill="1" applyBorder="1" applyProtection="1"/>
    <xf numFmtId="0" fontId="2" fillId="0" borderId="6" xfId="0" applyFont="1" applyBorder="1" applyProtection="1"/>
    <xf numFmtId="0" fontId="2" fillId="0" borderId="0" xfId="0" applyFont="1"/>
    <xf numFmtId="0" fontId="2" fillId="0" borderId="0" xfId="1" applyProtection="1"/>
    <xf numFmtId="2" fontId="2" fillId="0" borderId="0" xfId="1" applyNumberFormat="1" applyProtection="1"/>
    <xf numFmtId="11" fontId="2" fillId="0" borderId="0" xfId="1" applyNumberFormat="1" applyProtection="1"/>
    <xf numFmtId="1" fontId="2" fillId="0" borderId="0" xfId="1" applyNumberFormat="1" applyProtection="1"/>
    <xf numFmtId="0" fontId="2" fillId="3" borderId="1" xfId="1" applyFill="1" applyBorder="1" applyProtection="1">
      <protection locked="0"/>
    </xf>
    <xf numFmtId="0" fontId="2" fillId="0" borderId="0" xfId="1" applyFill="1" applyBorder="1" applyProtection="1"/>
    <xf numFmtId="0" fontId="2" fillId="0" borderId="0" xfId="1" applyFont="1" applyProtection="1"/>
    <xf numFmtId="0" fontId="1" fillId="0" borderId="0" xfId="1" applyFont="1" applyProtection="1"/>
    <xf numFmtId="0" fontId="2" fillId="0" borderId="0" xfId="1" applyFill="1" applyProtection="1"/>
    <xf numFmtId="0" fontId="2" fillId="6" borderId="0" xfId="1" applyFill="1" applyProtection="1"/>
    <xf numFmtId="0" fontId="2" fillId="5" borderId="0" xfId="1" applyFill="1" applyProtection="1"/>
    <xf numFmtId="0" fontId="2" fillId="4" borderId="0" xfId="1" applyFill="1" applyProtection="1"/>
    <xf numFmtId="0" fontId="2" fillId="0" borderId="2" xfId="1" applyBorder="1" applyProtection="1"/>
    <xf numFmtId="2" fontId="2" fillId="0" borderId="0" xfId="1" applyNumberFormat="1" applyFill="1" applyProtection="1"/>
    <xf numFmtId="166" fontId="2" fillId="0" borderId="0" xfId="1" applyNumberFormat="1" applyFill="1" applyProtection="1"/>
    <xf numFmtId="165" fontId="2" fillId="0" borderId="0" xfId="1" applyNumberFormat="1" applyFill="1" applyProtection="1"/>
    <xf numFmtId="164" fontId="2" fillId="0" borderId="0" xfId="1" applyNumberFormat="1" applyFill="1" applyProtection="1"/>
    <xf numFmtId="0" fontId="2" fillId="0" borderId="0" xfId="1" applyAlignment="1" applyProtection="1">
      <alignment horizontal="left"/>
    </xf>
    <xf numFmtId="0" fontId="2" fillId="3" borderId="1" xfId="1" applyFont="1" applyFill="1" applyBorder="1" applyProtection="1"/>
    <xf numFmtId="0" fontId="3" fillId="0" borderId="0" xfId="1" applyFont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0" borderId="0" xfId="0" applyFont="1" applyBorder="1" applyProtection="1"/>
    <xf numFmtId="0" fontId="0" fillId="0" borderId="11" xfId="0" applyBorder="1" applyProtection="1"/>
    <xf numFmtId="0" fontId="0" fillId="0" borderId="0" xfId="0" applyFill="1" applyBorder="1" applyProtection="1">
      <protection locked="0"/>
    </xf>
    <xf numFmtId="0" fontId="0" fillId="0" borderId="12" xfId="0" applyBorder="1" applyProtection="1"/>
    <xf numFmtId="0" fontId="2" fillId="0" borderId="0" xfId="0" applyFont="1" applyBorder="1" applyProtection="1"/>
    <xf numFmtId="0" fontId="0" fillId="0" borderId="13" xfId="0" applyBorder="1" applyProtection="1"/>
    <xf numFmtId="0" fontId="0" fillId="0" borderId="14" xfId="0" applyBorder="1" applyProtection="1"/>
    <xf numFmtId="0" fontId="0" fillId="0" borderId="15" xfId="0" applyBorder="1" applyProtection="1"/>
    <xf numFmtId="0" fontId="0" fillId="0" borderId="0" xfId="0" applyFont="1" applyFill="1" applyBorder="1" applyProtection="1"/>
    <xf numFmtId="167" fontId="0" fillId="0" borderId="0" xfId="0" applyNumberFormat="1" applyBorder="1" applyProtection="1"/>
    <xf numFmtId="167" fontId="0" fillId="2" borderId="0" xfId="0" applyNumberFormat="1" applyFill="1" applyBorder="1" applyProtection="1">
      <protection locked="0"/>
    </xf>
    <xf numFmtId="167" fontId="0" fillId="0" borderId="0" xfId="0" applyNumberFormat="1" applyProtection="1"/>
    <xf numFmtId="167" fontId="0" fillId="2" borderId="1" xfId="0" applyNumberFormat="1" applyFill="1" applyBorder="1" applyProtection="1">
      <protection locked="0"/>
    </xf>
    <xf numFmtId="167" fontId="1" fillId="0" borderId="0" xfId="0" applyNumberFormat="1" applyFont="1" applyBorder="1" applyProtection="1"/>
    <xf numFmtId="167" fontId="0" fillId="3" borderId="1" xfId="0" applyNumberFormat="1" applyFill="1" applyBorder="1" applyProtection="1">
      <protection locked="0"/>
    </xf>
    <xf numFmtId="0" fontId="10" fillId="7" borderId="3" xfId="0" applyFont="1" applyFill="1" applyBorder="1" applyAlignment="1" applyProtection="1">
      <alignment horizontal="left" vertical="center"/>
      <protection locked="0"/>
    </xf>
    <xf numFmtId="0" fontId="4" fillId="7" borderId="0" xfId="0" applyFont="1" applyFill="1" applyBorder="1" applyAlignment="1" applyProtection="1">
      <alignment vertical="center" wrapText="1"/>
      <protection locked="0"/>
    </xf>
    <xf numFmtId="0" fontId="0" fillId="7" borderId="0" xfId="0" applyFill="1" applyBorder="1" applyAlignment="1">
      <alignment vertical="center" wrapText="1"/>
    </xf>
    <xf numFmtId="0" fontId="2" fillId="7" borderId="0" xfId="0" applyFont="1" applyFill="1" applyBorder="1" applyAlignment="1" applyProtection="1">
      <alignment vertical="center" wrapText="1"/>
      <protection locked="0"/>
    </xf>
    <xf numFmtId="0" fontId="0" fillId="7" borderId="4" xfId="0" applyFill="1" applyBorder="1" applyAlignment="1">
      <alignment vertical="center" wrapText="1"/>
    </xf>
    <xf numFmtId="0" fontId="1" fillId="0" borderId="16" xfId="0" applyFont="1" applyBorder="1" applyAlignment="1" applyProtection="1">
      <alignment horizontal="center"/>
    </xf>
    <xf numFmtId="0" fontId="1" fillId="0" borderId="17" xfId="0" applyFont="1" applyBorder="1" applyAlignment="1" applyProtection="1">
      <alignment horizontal="center"/>
    </xf>
    <xf numFmtId="0" fontId="1" fillId="0" borderId="18" xfId="0" applyFont="1" applyBorder="1" applyAlignment="1" applyProtection="1">
      <alignment horizontal="center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Border="1" applyProtection="1"/>
    <xf numFmtId="0" fontId="4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167" fontId="2" fillId="0" borderId="0" xfId="0" applyNumberFormat="1" applyFont="1" applyFill="1" applyBorder="1" applyProtection="1">
      <protection locked="0"/>
    </xf>
    <xf numFmtId="167" fontId="2" fillId="0" borderId="0" xfId="0" applyNumberFormat="1" applyFont="1" applyFill="1" applyBorder="1" applyProtection="1"/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 applyProtection="1">
      <alignment vertical="center" wrapText="1"/>
      <protection locked="0"/>
    </xf>
  </cellXfs>
  <cellStyles count="2">
    <cellStyle name="Normal" xfId="0" builtinId="0"/>
    <cellStyle name="Normal 2" xfId="1"/>
  </cellStyles>
  <dxfs count="64"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209550</xdr:colOff>
      <xdr:row>4</xdr:row>
      <xdr:rowOff>123825</xdr:rowOff>
    </xdr:to>
    <xdr:pic>
      <xdr:nvPicPr>
        <xdr:cNvPr id="1064" name="Picture 3" descr="C:\Users\Ajclingen\Downloads\ihcm_merk_colo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0970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"/>
  <sheetViews>
    <sheetView tabSelected="1" zoomScale="70" zoomScaleNormal="70" workbookViewId="0">
      <selection activeCell="I12" sqref="I12"/>
    </sheetView>
  </sheetViews>
  <sheetFormatPr defaultRowHeight="12.75" x14ac:dyDescent="0.2"/>
  <cols>
    <col min="1" max="1" width="18" style="1" customWidth="1"/>
    <col min="2" max="4" width="9.140625" style="1"/>
    <col min="5" max="5" width="11.85546875" style="1" customWidth="1"/>
    <col min="6" max="8" width="9.140625" style="1"/>
    <col min="9" max="9" width="11" style="1" bestFit="1" customWidth="1"/>
    <col min="10" max="16384" width="9.140625" style="1"/>
  </cols>
  <sheetData>
    <row r="1" spans="1:9" ht="15" x14ac:dyDescent="0.2">
      <c r="A1" s="114" t="s">
        <v>98</v>
      </c>
      <c r="B1" s="114"/>
      <c r="C1" s="114"/>
      <c r="D1" s="114"/>
      <c r="E1" s="115"/>
      <c r="F1" s="115"/>
      <c r="G1" s="115"/>
      <c r="H1" s="115"/>
      <c r="I1" s="115"/>
    </row>
    <row r="2" spans="1:9" x14ac:dyDescent="0.2">
      <c r="A2" s="117"/>
      <c r="B2" s="118"/>
      <c r="C2" s="109"/>
      <c r="D2" s="110"/>
      <c r="E2" s="109"/>
      <c r="F2" s="109"/>
      <c r="G2" s="109"/>
      <c r="H2" s="109"/>
      <c r="I2" s="109"/>
    </row>
    <row r="3" spans="1:9" x14ac:dyDescent="0.2">
      <c r="A3" s="119"/>
      <c r="B3" s="118"/>
      <c r="C3" s="109"/>
      <c r="D3" s="110"/>
      <c r="E3" s="109"/>
      <c r="F3" s="109"/>
      <c r="G3" s="109"/>
      <c r="H3" s="109"/>
      <c r="I3" s="109"/>
    </row>
    <row r="4" spans="1:9" x14ac:dyDescent="0.2">
      <c r="A4" s="119"/>
      <c r="B4" s="118"/>
      <c r="C4" s="109"/>
      <c r="D4" s="110"/>
      <c r="E4" s="109"/>
      <c r="F4" s="111"/>
      <c r="G4" s="109"/>
      <c r="H4" s="109"/>
      <c r="I4" s="109"/>
    </row>
    <row r="5" spans="1:9" x14ac:dyDescent="0.2">
      <c r="A5" s="119"/>
      <c r="B5" s="118"/>
      <c r="C5" s="109"/>
      <c r="D5" s="109"/>
      <c r="E5" s="109"/>
      <c r="F5" s="111"/>
      <c r="G5" s="109"/>
      <c r="H5" s="109"/>
      <c r="I5" s="109"/>
    </row>
    <row r="6" spans="1:9" x14ac:dyDescent="0.2">
      <c r="A6" s="118"/>
      <c r="B6" s="118"/>
      <c r="C6" s="109"/>
      <c r="D6" s="109"/>
      <c r="E6" s="109"/>
      <c r="F6" s="111"/>
      <c r="G6" s="109"/>
      <c r="H6" s="109"/>
      <c r="I6" s="109"/>
    </row>
    <row r="7" spans="1:9" x14ac:dyDescent="0.2">
      <c r="A7" s="108"/>
      <c r="B7" s="108"/>
      <c r="C7" s="108"/>
      <c r="D7" s="108"/>
      <c r="E7" s="108"/>
      <c r="F7" s="108"/>
      <c r="G7" s="108"/>
      <c r="H7" s="108"/>
      <c r="I7" s="108"/>
    </row>
    <row r="8" spans="1:9" x14ac:dyDescent="0.2">
      <c r="A8" s="108"/>
      <c r="B8" s="108"/>
      <c r="C8" s="108"/>
      <c r="D8" s="108"/>
      <c r="E8" s="108"/>
      <c r="F8" s="108"/>
      <c r="G8" s="108"/>
      <c r="H8" s="108"/>
      <c r="I8" s="108"/>
    </row>
    <row r="9" spans="1:9" x14ac:dyDescent="0.2">
      <c r="A9" s="108" t="s">
        <v>87</v>
      </c>
      <c r="B9" s="108"/>
      <c r="C9" s="108"/>
      <c r="D9" s="108"/>
      <c r="E9" s="108"/>
      <c r="F9" s="108"/>
      <c r="G9" s="108"/>
      <c r="H9" s="108"/>
      <c r="I9" s="108"/>
    </row>
    <row r="10" spans="1:9" x14ac:dyDescent="0.2">
      <c r="A10" s="108"/>
      <c r="B10" s="108"/>
      <c r="C10" s="108"/>
      <c r="D10" s="108"/>
      <c r="E10" s="108"/>
      <c r="F10" s="108"/>
      <c r="G10" s="108"/>
      <c r="H10" s="108"/>
      <c r="I10" s="108"/>
    </row>
    <row r="11" spans="1:9" x14ac:dyDescent="0.2">
      <c r="A11" s="108"/>
      <c r="B11" s="108"/>
      <c r="C11" s="108"/>
      <c r="D11" s="108"/>
      <c r="E11" s="108"/>
      <c r="F11" s="108"/>
      <c r="G11" s="108"/>
      <c r="H11" s="108"/>
      <c r="I11" s="108"/>
    </row>
    <row r="12" spans="1:9" x14ac:dyDescent="0.2">
      <c r="A12" s="108" t="s">
        <v>83</v>
      </c>
      <c r="B12" s="108"/>
      <c r="C12" s="108"/>
      <c r="D12" s="108" t="s">
        <v>66</v>
      </c>
      <c r="E12" s="108"/>
      <c r="F12" s="107">
        <v>1</v>
      </c>
      <c r="G12" s="108"/>
      <c r="H12" s="108" t="s">
        <v>17</v>
      </c>
      <c r="I12" s="108"/>
    </row>
    <row r="13" spans="1:9" x14ac:dyDescent="0.2">
      <c r="A13" s="108" t="s">
        <v>84</v>
      </c>
      <c r="B13" s="108"/>
      <c r="C13" s="108"/>
      <c r="D13" s="108" t="s">
        <v>67</v>
      </c>
      <c r="E13" s="108"/>
      <c r="F13" s="107">
        <v>1025</v>
      </c>
      <c r="G13" s="108"/>
      <c r="H13" s="108" t="s">
        <v>11</v>
      </c>
      <c r="I13" s="108"/>
    </row>
    <row r="14" spans="1:9" x14ac:dyDescent="0.2">
      <c r="A14" s="108"/>
      <c r="B14" s="108"/>
      <c r="C14" s="108"/>
      <c r="D14" s="108"/>
      <c r="E14" s="108"/>
      <c r="F14" s="108"/>
      <c r="G14" s="108"/>
      <c r="H14" s="108"/>
      <c r="I14" s="108"/>
    </row>
    <row r="15" spans="1:9" x14ac:dyDescent="0.2">
      <c r="A15" s="108"/>
      <c r="B15" s="108"/>
      <c r="C15" s="108"/>
      <c r="D15" s="108"/>
      <c r="E15" s="108"/>
      <c r="F15" s="108"/>
      <c r="G15" s="108"/>
      <c r="H15" s="108"/>
      <c r="I15" s="108"/>
    </row>
    <row r="16" spans="1:9" x14ac:dyDescent="0.2">
      <c r="A16" s="116" t="s">
        <v>110</v>
      </c>
      <c r="B16" s="116"/>
      <c r="C16" s="116"/>
      <c r="D16" s="116"/>
      <c r="E16" s="116"/>
      <c r="F16" s="116"/>
      <c r="G16" s="116"/>
      <c r="H16" s="116"/>
      <c r="I16" s="116"/>
    </row>
    <row r="17" spans="1:11" x14ac:dyDescent="0.2">
      <c r="A17" s="108"/>
      <c r="B17" s="108"/>
      <c r="C17" s="108"/>
      <c r="D17" s="108"/>
      <c r="E17" s="108"/>
      <c r="F17" s="108"/>
      <c r="G17" s="108"/>
      <c r="H17" s="108"/>
      <c r="I17" s="108"/>
    </row>
    <row r="18" spans="1:11" x14ac:dyDescent="0.2">
      <c r="A18" s="108"/>
      <c r="B18" s="108"/>
      <c r="C18" s="108"/>
      <c r="D18" s="108" t="s">
        <v>101</v>
      </c>
      <c r="E18" s="108"/>
      <c r="F18" s="112">
        <v>1.5</v>
      </c>
      <c r="G18" s="108"/>
      <c r="H18" s="108" t="s">
        <v>12</v>
      </c>
      <c r="I18" s="108"/>
      <c r="K18" s="1" t="s">
        <v>113</v>
      </c>
    </row>
    <row r="19" spans="1:11" x14ac:dyDescent="0.2">
      <c r="A19" s="108"/>
      <c r="B19" s="108"/>
      <c r="C19" s="108"/>
      <c r="D19" s="108" t="s">
        <v>125</v>
      </c>
      <c r="E19" s="108"/>
      <c r="F19" s="112">
        <v>4.9000000000000004</v>
      </c>
      <c r="G19" s="108"/>
      <c r="H19" s="108" t="s">
        <v>12</v>
      </c>
      <c r="I19" s="108"/>
      <c r="K19" s="1" t="s">
        <v>126</v>
      </c>
    </row>
    <row r="20" spans="1:11" x14ac:dyDescent="0.2">
      <c r="A20" s="108"/>
      <c r="B20" s="108"/>
      <c r="C20" s="108"/>
      <c r="D20" s="108"/>
      <c r="E20" s="107"/>
      <c r="F20" s="113"/>
      <c r="G20" s="108"/>
      <c r="H20" s="108"/>
      <c r="I20" s="108"/>
    </row>
    <row r="21" spans="1:11" x14ac:dyDescent="0.2">
      <c r="A21" s="108"/>
      <c r="B21" s="108"/>
      <c r="C21" s="108"/>
      <c r="D21" s="108" t="s">
        <v>55</v>
      </c>
      <c r="E21" s="108"/>
      <c r="F21" s="113">
        <f>'DN500 S'!H23+'DN450 S'!H23+'DN400 S'!H23+'DN350 S'!H23+'DN300 S'!H23+'DN250 S'!H23+'DN200 S'!H23+'DN150 S'!H23+'DN125 S'!H23+'DN100 S'!H23+'DN80 S'!H23+'DN65 S'!H23+'DN50 S'!H23+'DN40 S'!H23+'DN32 S'!H23+'DN25 S'!H23</f>
        <v>0</v>
      </c>
      <c r="G21" s="108"/>
      <c r="H21" s="108" t="s">
        <v>52</v>
      </c>
      <c r="I21" s="108"/>
      <c r="K21" s="1" t="s">
        <v>112</v>
      </c>
    </row>
    <row r="22" spans="1:11" x14ac:dyDescent="0.2">
      <c r="A22" s="108"/>
      <c r="B22" s="108"/>
      <c r="C22" s="108"/>
      <c r="D22" s="108"/>
      <c r="E22" s="108"/>
      <c r="F22" s="113"/>
      <c r="G22" s="108"/>
      <c r="H22" s="108"/>
      <c r="I22" s="108"/>
    </row>
    <row r="23" spans="1:11" x14ac:dyDescent="0.2">
      <c r="A23" s="108" t="s">
        <v>88</v>
      </c>
      <c r="B23" s="108"/>
      <c r="C23" s="108"/>
      <c r="D23" s="108" t="s">
        <v>99</v>
      </c>
      <c r="E23" s="108"/>
      <c r="F23" s="112">
        <v>0</v>
      </c>
      <c r="G23" s="108"/>
      <c r="H23" s="108" t="s">
        <v>52</v>
      </c>
      <c r="I23" s="108"/>
    </row>
    <row r="24" spans="1:11" x14ac:dyDescent="0.2">
      <c r="A24" s="108"/>
      <c r="B24" s="108"/>
      <c r="C24" s="108"/>
      <c r="D24" s="108" t="s">
        <v>99</v>
      </c>
      <c r="E24" s="108"/>
      <c r="F24" s="112">
        <v>0</v>
      </c>
      <c r="G24" s="108"/>
      <c r="H24" s="108" t="s">
        <v>52</v>
      </c>
      <c r="I24" s="108"/>
    </row>
    <row r="25" spans="1:11" x14ac:dyDescent="0.2">
      <c r="A25" s="108"/>
      <c r="B25" s="108"/>
      <c r="C25" s="108"/>
      <c r="D25" s="108" t="s">
        <v>99</v>
      </c>
      <c r="E25" s="108"/>
      <c r="F25" s="112">
        <v>0</v>
      </c>
      <c r="G25" s="108"/>
      <c r="H25" s="108" t="s">
        <v>52</v>
      </c>
      <c r="I25" s="108"/>
    </row>
    <row r="26" spans="1:11" x14ac:dyDescent="0.2">
      <c r="A26" s="108"/>
      <c r="B26" s="108"/>
      <c r="C26" s="108"/>
      <c r="D26" s="108"/>
      <c r="E26" s="108"/>
      <c r="F26" s="113"/>
      <c r="G26" s="108"/>
      <c r="H26" s="108"/>
      <c r="I26" s="108"/>
    </row>
    <row r="27" spans="1:11" x14ac:dyDescent="0.2">
      <c r="A27" s="108" t="s">
        <v>65</v>
      </c>
      <c r="B27" s="108"/>
      <c r="C27" s="108"/>
      <c r="D27" s="108" t="s">
        <v>97</v>
      </c>
      <c r="E27" s="108"/>
      <c r="F27" s="113">
        <f>SUM(F21:F25)*100000/(9.81*$F$13)</f>
        <v>0</v>
      </c>
      <c r="G27" s="108"/>
      <c r="H27" s="108" t="s">
        <v>103</v>
      </c>
      <c r="I27" s="108"/>
      <c r="K27" s="1" t="s">
        <v>114</v>
      </c>
    </row>
    <row r="28" spans="1:11" x14ac:dyDescent="0.2">
      <c r="A28" s="108"/>
      <c r="B28" s="108"/>
      <c r="C28" s="108"/>
      <c r="D28" s="108"/>
      <c r="E28" s="108"/>
      <c r="F28" s="113"/>
      <c r="G28" s="108"/>
      <c r="H28" s="108"/>
      <c r="I28" s="108"/>
    </row>
    <row r="29" spans="1:11" x14ac:dyDescent="0.2">
      <c r="A29" s="108" t="s">
        <v>92</v>
      </c>
      <c r="B29" s="108" t="s">
        <v>102</v>
      </c>
      <c r="C29" s="108"/>
      <c r="D29" s="108"/>
      <c r="E29" s="108"/>
      <c r="F29" s="113">
        <f>F30+F31-F32-F27</f>
        <v>12.976825538897591</v>
      </c>
      <c r="G29" s="108"/>
      <c r="H29" s="108" t="s">
        <v>103</v>
      </c>
      <c r="I29" s="108"/>
      <c r="K29" s="1" t="s">
        <v>115</v>
      </c>
    </row>
    <row r="30" spans="1:11" x14ac:dyDescent="0.2">
      <c r="A30" s="108"/>
      <c r="B30" s="108" t="s">
        <v>91</v>
      </c>
      <c r="C30" s="108"/>
      <c r="D30" s="108"/>
      <c r="E30" s="108"/>
      <c r="F30" s="113">
        <f>101325/(9.81*F13)</f>
        <v>10.076825538897591</v>
      </c>
      <c r="G30" s="108"/>
      <c r="H30" s="108" t="s">
        <v>103</v>
      </c>
      <c r="I30" s="108"/>
      <c r="K30" s="1" t="s">
        <v>127</v>
      </c>
    </row>
    <row r="31" spans="1:11" x14ac:dyDescent="0.2">
      <c r="A31" s="108"/>
      <c r="B31" s="108" t="s">
        <v>104</v>
      </c>
      <c r="C31" s="108"/>
      <c r="D31" s="108"/>
      <c r="E31" s="108"/>
      <c r="F31" s="113">
        <f>F19-F18</f>
        <v>3.4000000000000004</v>
      </c>
      <c r="G31" s="108"/>
      <c r="H31" s="108" t="s">
        <v>103</v>
      </c>
      <c r="I31" s="108"/>
      <c r="K31" s="1" t="s">
        <v>120</v>
      </c>
    </row>
    <row r="32" spans="1:11" x14ac:dyDescent="0.2">
      <c r="A32" s="108"/>
      <c r="B32" s="108" t="s">
        <v>90</v>
      </c>
      <c r="C32" s="108"/>
      <c r="D32" s="108"/>
      <c r="E32" s="108"/>
      <c r="F32" s="112">
        <v>0.5</v>
      </c>
      <c r="G32" s="108"/>
      <c r="H32" s="108" t="s">
        <v>103</v>
      </c>
      <c r="I32" s="108" t="s">
        <v>96</v>
      </c>
      <c r="K32" s="1" t="s">
        <v>119</v>
      </c>
    </row>
    <row r="33" spans="1:11" x14ac:dyDescent="0.2">
      <c r="A33" s="108"/>
      <c r="B33" s="108" t="s">
        <v>105</v>
      </c>
      <c r="C33" s="108"/>
      <c r="D33" s="108"/>
      <c r="E33" s="108"/>
      <c r="F33" s="113">
        <v>3</v>
      </c>
      <c r="G33" s="108"/>
      <c r="H33" s="108" t="s">
        <v>103</v>
      </c>
      <c r="I33" s="108"/>
    </row>
    <row r="34" spans="1:11" x14ac:dyDescent="0.2">
      <c r="A34" s="108"/>
      <c r="B34" s="108" t="s">
        <v>107</v>
      </c>
      <c r="C34" s="108"/>
      <c r="D34" s="108"/>
      <c r="E34" s="108"/>
      <c r="F34" s="112">
        <f>F29-F33</f>
        <v>9.9768255388975913</v>
      </c>
      <c r="G34" s="108"/>
      <c r="H34" s="108" t="s">
        <v>103</v>
      </c>
      <c r="I34" s="108"/>
      <c r="K34" s="1" t="s">
        <v>116</v>
      </c>
    </row>
    <row r="35" spans="1:11" x14ac:dyDescent="0.2">
      <c r="A35" s="108"/>
      <c r="B35" s="108"/>
      <c r="C35" s="108"/>
      <c r="D35" s="108"/>
      <c r="E35" s="108"/>
      <c r="F35" s="108"/>
      <c r="G35" s="108"/>
      <c r="H35" s="108"/>
      <c r="I35" s="108"/>
    </row>
    <row r="36" spans="1:11" x14ac:dyDescent="0.2">
      <c r="A36" s="108"/>
      <c r="B36" s="108"/>
      <c r="C36" s="108"/>
      <c r="D36" s="108"/>
      <c r="E36" s="108"/>
      <c r="F36" s="108"/>
      <c r="G36" s="108"/>
      <c r="H36" s="108"/>
      <c r="I36" s="108"/>
    </row>
    <row r="37" spans="1:11" x14ac:dyDescent="0.2">
      <c r="A37" s="116" t="s">
        <v>111</v>
      </c>
      <c r="B37" s="116"/>
      <c r="C37" s="116"/>
      <c r="D37" s="116"/>
      <c r="E37" s="116"/>
      <c r="F37" s="116"/>
      <c r="G37" s="116"/>
      <c r="H37" s="116"/>
      <c r="I37" s="116"/>
    </row>
    <row r="38" spans="1:11" x14ac:dyDescent="0.2">
      <c r="A38" s="108"/>
      <c r="B38" s="108"/>
      <c r="C38" s="108"/>
      <c r="D38" s="108"/>
      <c r="E38" s="108"/>
      <c r="F38" s="108"/>
      <c r="G38" s="108"/>
      <c r="H38" s="108"/>
      <c r="I38" s="108"/>
    </row>
    <row r="39" spans="1:11" x14ac:dyDescent="0.2">
      <c r="A39" s="108"/>
      <c r="B39" s="108"/>
      <c r="C39" s="108"/>
      <c r="D39" s="108" t="s">
        <v>55</v>
      </c>
      <c r="E39" s="108"/>
      <c r="F39" s="113">
        <f>'DN500 P'!H23+'DN450 P'!H23+'DN400 P'!H23+'DN350 P'!H23+'DN300 P'!H23+'DN250 P'!H23+'DN200 P'!H23+'DN150 P'!H23+'DN125 P'!H23+'DN100 P'!H23+'DN80 P'!H23+'DN65 P'!H23+'DN50 P'!H23+'DN40 P'!H23+'DN32 P'!H23+'DN25 P'!H23</f>
        <v>0</v>
      </c>
      <c r="G39" s="108"/>
      <c r="H39" s="108" t="s">
        <v>52</v>
      </c>
      <c r="I39" s="108"/>
    </row>
    <row r="40" spans="1:11" x14ac:dyDescent="0.2">
      <c r="A40" s="108"/>
      <c r="B40" s="108"/>
      <c r="C40" s="108"/>
      <c r="D40" s="108"/>
      <c r="E40" s="108"/>
      <c r="F40" s="113"/>
      <c r="G40" s="108"/>
      <c r="H40" s="108"/>
      <c r="I40" s="108"/>
    </row>
    <row r="41" spans="1:11" x14ac:dyDescent="0.2">
      <c r="A41" s="108" t="s">
        <v>88</v>
      </c>
      <c r="B41" s="108"/>
      <c r="C41" s="108"/>
      <c r="D41" s="108" t="s">
        <v>99</v>
      </c>
      <c r="E41" s="108"/>
      <c r="F41" s="112">
        <v>0</v>
      </c>
      <c r="G41" s="108"/>
      <c r="H41" s="108" t="s">
        <v>52</v>
      </c>
      <c r="I41" s="108"/>
    </row>
    <row r="42" spans="1:11" x14ac:dyDescent="0.2">
      <c r="A42" s="108"/>
      <c r="B42" s="108"/>
      <c r="C42" s="108"/>
      <c r="D42" s="108" t="s">
        <v>99</v>
      </c>
      <c r="E42" s="108"/>
      <c r="F42" s="112">
        <v>0</v>
      </c>
      <c r="G42" s="108"/>
      <c r="H42" s="108" t="s">
        <v>52</v>
      </c>
      <c r="I42" s="108"/>
    </row>
    <row r="43" spans="1:11" x14ac:dyDescent="0.2">
      <c r="A43" s="108"/>
      <c r="B43" s="108"/>
      <c r="C43" s="108"/>
      <c r="D43" s="108" t="s">
        <v>99</v>
      </c>
      <c r="E43" s="108"/>
      <c r="F43" s="112">
        <v>0</v>
      </c>
      <c r="G43" s="108"/>
      <c r="H43" s="108" t="s">
        <v>52</v>
      </c>
      <c r="I43" s="108"/>
    </row>
    <row r="44" spans="1:11" x14ac:dyDescent="0.2">
      <c r="A44" s="108"/>
      <c r="B44" s="108"/>
      <c r="C44" s="108"/>
      <c r="D44" s="108"/>
      <c r="E44" s="108"/>
      <c r="F44" s="113"/>
      <c r="G44" s="108"/>
      <c r="H44" s="108"/>
      <c r="I44" s="108"/>
    </row>
    <row r="45" spans="1:11" x14ac:dyDescent="0.2">
      <c r="A45" s="108" t="s">
        <v>65</v>
      </c>
      <c r="B45" s="108"/>
      <c r="C45" s="108"/>
      <c r="D45" s="108" t="s">
        <v>97</v>
      </c>
      <c r="E45" s="108"/>
      <c r="F45" s="113">
        <f>SUM(F39:F43)*100000/(9.81*$F$13)</f>
        <v>0</v>
      </c>
      <c r="G45" s="108"/>
      <c r="H45" s="108" t="s">
        <v>103</v>
      </c>
      <c r="I45" s="108"/>
    </row>
    <row r="46" spans="1:11" x14ac:dyDescent="0.2">
      <c r="A46" s="108"/>
      <c r="B46" s="108"/>
      <c r="C46" s="108"/>
      <c r="D46" s="108" t="s">
        <v>117</v>
      </c>
      <c r="E46" s="108"/>
      <c r="F46" s="113">
        <v>0</v>
      </c>
      <c r="G46" s="108"/>
      <c r="H46" s="108" t="s">
        <v>103</v>
      </c>
      <c r="I46" s="108"/>
    </row>
    <row r="47" spans="1:11" x14ac:dyDescent="0.2">
      <c r="A47" s="108"/>
      <c r="B47" s="108"/>
      <c r="C47" s="108"/>
      <c r="D47" s="108" t="s">
        <v>118</v>
      </c>
      <c r="E47" s="108"/>
      <c r="F47" s="113">
        <f>SUM(F45:F46)</f>
        <v>0</v>
      </c>
      <c r="G47" s="108"/>
      <c r="H47" s="108" t="s">
        <v>103</v>
      </c>
      <c r="I47" s="108"/>
    </row>
    <row r="48" spans="1:11" x14ac:dyDescent="0.2">
      <c r="A48" s="108"/>
      <c r="B48" s="108"/>
      <c r="C48" s="108"/>
      <c r="D48" s="108"/>
      <c r="E48" s="108"/>
      <c r="F48" s="113"/>
      <c r="G48" s="108"/>
      <c r="H48" s="108"/>
      <c r="I48" s="108"/>
    </row>
    <row r="49" spans="1:9" x14ac:dyDescent="0.2">
      <c r="A49" s="108"/>
      <c r="B49" s="108"/>
      <c r="C49" s="108"/>
      <c r="D49" s="108"/>
      <c r="E49" s="108"/>
      <c r="F49" s="113">
        <f>(F47*F13*9.81)/100000</f>
        <v>0</v>
      </c>
      <c r="G49" s="108"/>
      <c r="H49" s="108" t="s">
        <v>52</v>
      </c>
      <c r="I49" s="108"/>
    </row>
    <row r="50" spans="1:9" x14ac:dyDescent="0.2">
      <c r="A50" s="108"/>
      <c r="B50" s="108"/>
      <c r="C50" s="108"/>
      <c r="D50" s="108"/>
      <c r="E50" s="108"/>
      <c r="F50" s="108"/>
      <c r="G50" s="108"/>
      <c r="H50" s="108"/>
      <c r="I50" s="108"/>
    </row>
  </sheetData>
  <mergeCells count="3">
    <mergeCell ref="A1:D1"/>
    <mergeCell ref="A16:I16"/>
    <mergeCell ref="A37:I37"/>
  </mergeCells>
  <pageMargins left="0.78740157480314965" right="0.78740157480314965" top="0.98425196850393704" bottom="0.98425196850393704" header="0.51181102362204722" footer="0.51181102362204722"/>
  <pageSetup paperSize="9" scale="86" orientation="portrait" r:id="rId1"/>
  <headerFooter alignWithMargins="0">
    <oddFooter>&amp;L&amp;8&amp;D&amp;R&amp;8&amp;F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>
    <pageSetUpPr fitToPage="1"/>
  </sheetPr>
  <dimension ref="A2:Q51"/>
  <sheetViews>
    <sheetView workbookViewId="0">
      <selection activeCell="C45" sqref="C45"/>
    </sheetView>
  </sheetViews>
  <sheetFormatPr defaultRowHeight="12.75" x14ac:dyDescent="0.2"/>
  <cols>
    <col min="1" max="1" width="12.140625" style="1" customWidth="1"/>
    <col min="2" max="3" width="9.140625" style="1"/>
    <col min="4" max="4" width="12.42578125" style="1" bestFit="1" customWidth="1"/>
    <col min="5" max="5" width="12" style="1" bestFit="1" customWidth="1"/>
    <col min="6" max="6" width="10.7109375" style="1" customWidth="1"/>
    <col min="7" max="7" width="12.42578125" style="1" bestFit="1" customWidth="1"/>
    <col min="8" max="9" width="9.42578125" style="1" customWidth="1"/>
    <col min="10" max="10" width="14.140625" style="1" bestFit="1" customWidth="1"/>
    <col min="11" max="11" width="5" style="1" bestFit="1" customWidth="1"/>
    <col min="12" max="12" width="14.85546875" style="1" bestFit="1" customWidth="1"/>
    <col min="13" max="13" width="3.7109375" style="1" bestFit="1" customWidth="1"/>
    <col min="14" max="14" width="8.85546875" style="1" bestFit="1" customWidth="1"/>
    <col min="15" max="15" width="3.7109375" style="1" bestFit="1" customWidth="1"/>
    <col min="16" max="16" width="7.42578125" style="1" bestFit="1" customWidth="1"/>
    <col min="17" max="17" width="3.7109375" style="1" bestFit="1" customWidth="1"/>
    <col min="18" max="18" width="6.85546875" style="1" bestFit="1" customWidth="1"/>
    <col min="19" max="16384" width="9.140625" style="1"/>
  </cols>
  <sheetData>
    <row r="2" spans="1:17" ht="15.75" x14ac:dyDescent="0.25">
      <c r="A2" s="22" t="s">
        <v>0</v>
      </c>
    </row>
    <row r="6" spans="1:17" x14ac:dyDescent="0.2">
      <c r="A6" s="26" t="s">
        <v>85</v>
      </c>
    </row>
    <row r="7" spans="1:17" x14ac:dyDescent="0.2">
      <c r="A7" s="25" t="s">
        <v>4</v>
      </c>
      <c r="E7" s="3">
        <f>Parameters!H7</f>
        <v>0</v>
      </c>
      <c r="F7" s="27" t="s">
        <v>86</v>
      </c>
    </row>
    <row r="8" spans="1:17" x14ac:dyDescent="0.2">
      <c r="A8" s="25" t="s">
        <v>5</v>
      </c>
      <c r="E8" s="27">
        <f>total!F18</f>
        <v>1025</v>
      </c>
      <c r="F8" s="27" t="s">
        <v>11</v>
      </c>
      <c r="Q8" s="28"/>
    </row>
    <row r="9" spans="1:17" x14ac:dyDescent="0.2">
      <c r="A9" s="25" t="s">
        <v>9</v>
      </c>
      <c r="E9" s="27">
        <f>total!F17</f>
        <v>1</v>
      </c>
      <c r="F9" s="27" t="s">
        <v>73</v>
      </c>
    </row>
    <row r="10" spans="1:17" x14ac:dyDescent="0.2">
      <c r="A10" s="25" t="s">
        <v>6</v>
      </c>
      <c r="E10" s="3">
        <f>Parameters!H8</f>
        <v>0</v>
      </c>
      <c r="F10" s="27" t="s">
        <v>12</v>
      </c>
    </row>
    <row r="11" spans="1:17" x14ac:dyDescent="0.2">
      <c r="A11" s="25" t="s">
        <v>7</v>
      </c>
      <c r="E11" s="27">
        <f>VLOOKUP(H11,'pipe dimensions'!A1:D21,K11+1)</f>
        <v>200</v>
      </c>
      <c r="F11" s="27" t="s">
        <v>13</v>
      </c>
      <c r="G11" s="28" t="s">
        <v>68</v>
      </c>
      <c r="H11" s="28">
        <v>200</v>
      </c>
      <c r="J11" s="1" t="s">
        <v>72</v>
      </c>
      <c r="K11" s="3">
        <f>Parameters!H10</f>
        <v>0</v>
      </c>
      <c r="L11" s="1" t="s">
        <v>74</v>
      </c>
    </row>
    <row r="12" spans="1:17" x14ac:dyDescent="0.2">
      <c r="A12" s="25" t="s">
        <v>14</v>
      </c>
      <c r="E12" s="3">
        <f>Parameters!H9</f>
        <v>0</v>
      </c>
      <c r="F12" s="27"/>
      <c r="G12" s="28" t="s">
        <v>24</v>
      </c>
      <c r="H12" s="28">
        <v>0.15</v>
      </c>
      <c r="I12" s="1" t="s">
        <v>13</v>
      </c>
      <c r="J12" s="28" t="s">
        <v>25</v>
      </c>
      <c r="K12" s="28">
        <v>0.02</v>
      </c>
      <c r="L12" s="1" t="s">
        <v>13</v>
      </c>
    </row>
    <row r="13" spans="1:17" x14ac:dyDescent="0.2">
      <c r="A13" s="25" t="s">
        <v>8</v>
      </c>
      <c r="E13" s="27">
        <f>IF(E10&gt;0,D51,0)</f>
        <v>0</v>
      </c>
      <c r="F13" s="27"/>
    </row>
    <row r="15" spans="1:17" x14ac:dyDescent="0.2">
      <c r="A15" s="25" t="s">
        <v>1</v>
      </c>
      <c r="H15" s="27"/>
    </row>
    <row r="16" spans="1:17" x14ac:dyDescent="0.2">
      <c r="A16" s="29" t="s">
        <v>3</v>
      </c>
      <c r="D16" s="25" t="s">
        <v>75</v>
      </c>
      <c r="H16" s="30">
        <f>E7/3600/(0.785*(0.001*E11)*(0.001*E11))</f>
        <v>0</v>
      </c>
      <c r="I16" s="27" t="s">
        <v>2</v>
      </c>
    </row>
    <row r="17" spans="1:12" x14ac:dyDescent="0.2">
      <c r="A17" s="29" t="s">
        <v>10</v>
      </c>
      <c r="D17" s="25" t="s">
        <v>76</v>
      </c>
      <c r="H17" s="30">
        <f>H16*0.001*E11/E9*1000000</f>
        <v>0</v>
      </c>
      <c r="I17" s="31">
        <f>H17</f>
        <v>0</v>
      </c>
    </row>
    <row r="18" spans="1:12" x14ac:dyDescent="0.2">
      <c r="A18" s="29" t="s">
        <v>32</v>
      </c>
      <c r="D18" s="25"/>
      <c r="H18" s="32">
        <f>H12/E11</f>
        <v>7.5000000000000002E-4</v>
      </c>
      <c r="I18" s="27"/>
    </row>
    <row r="19" spans="1:12" x14ac:dyDescent="0.2">
      <c r="A19" s="29" t="s">
        <v>26</v>
      </c>
      <c r="D19" s="25"/>
      <c r="H19" s="30">
        <f>H17*H12/E11</f>
        <v>0</v>
      </c>
      <c r="I19" s="27"/>
    </row>
    <row r="20" spans="1:12" x14ac:dyDescent="0.2">
      <c r="A20" s="29"/>
      <c r="D20" s="25"/>
      <c r="H20" s="30"/>
      <c r="I20" s="27"/>
    </row>
    <row r="21" spans="1:12" x14ac:dyDescent="0.2">
      <c r="A21" s="29" t="s">
        <v>78</v>
      </c>
      <c r="D21" s="1" t="s">
        <v>77</v>
      </c>
      <c r="H21" s="32">
        <f>IF((E7&gt;0),64/H17,0)</f>
        <v>0</v>
      </c>
      <c r="I21" s="27"/>
    </row>
    <row r="22" spans="1:12" x14ac:dyDescent="0.2">
      <c r="A22" s="29" t="s">
        <v>80</v>
      </c>
      <c r="D22" s="1" t="s">
        <v>79</v>
      </c>
      <c r="H22" s="32">
        <f>IF((E7&gt;0),(0.0055*(1+(20000*IF(E12&gt;1,K12/1000,H12/1000)/(0.001*E11)+1000000/H17)^0.333333)),0)</f>
        <v>0</v>
      </c>
      <c r="I22" s="27"/>
    </row>
    <row r="23" spans="1:12" x14ac:dyDescent="0.2">
      <c r="A23" s="1" t="s">
        <v>82</v>
      </c>
      <c r="D23" s="1" t="s">
        <v>81</v>
      </c>
      <c r="H23" s="33">
        <f>((IF(H17&gt;2320,H22,H21))*E10/(0.001*E11)+E13)*E8*H16*H16/(2*100000)</f>
        <v>0</v>
      </c>
      <c r="I23" s="27" t="s">
        <v>52</v>
      </c>
      <c r="J23" s="1" t="s">
        <v>19</v>
      </c>
    </row>
    <row r="24" spans="1:12" x14ac:dyDescent="0.2">
      <c r="H24" s="30">
        <f>+H23*100/(9.81)</f>
        <v>0</v>
      </c>
      <c r="I24" s="27" t="s">
        <v>15</v>
      </c>
      <c r="J24" s="1" t="s">
        <v>20</v>
      </c>
    </row>
    <row r="25" spans="1:12" x14ac:dyDescent="0.2">
      <c r="H25" s="27" t="s">
        <v>16</v>
      </c>
      <c r="I25" s="27"/>
    </row>
    <row r="26" spans="1:12" s="24" customFormat="1" hidden="1" x14ac:dyDescent="0.2"/>
    <row r="27" spans="1:12" hidden="1" x14ac:dyDescent="0.2"/>
    <row r="28" spans="1:12" hidden="1" x14ac:dyDescent="0.2">
      <c r="A28" s="1" t="s">
        <v>41</v>
      </c>
      <c r="D28" s="1" t="s">
        <v>18</v>
      </c>
      <c r="H28" s="1" t="s">
        <v>21</v>
      </c>
      <c r="L28" s="1" t="s">
        <v>23</v>
      </c>
    </row>
    <row r="29" spans="1:12" hidden="1" x14ac:dyDescent="0.2">
      <c r="D29" s="34" t="s">
        <v>22</v>
      </c>
      <c r="F29" s="1" t="s">
        <v>42</v>
      </c>
      <c r="H29" s="35" t="s">
        <v>35</v>
      </c>
      <c r="L29" s="36" t="s">
        <v>36</v>
      </c>
    </row>
    <row r="30" spans="1:12" hidden="1" x14ac:dyDescent="0.2">
      <c r="B30" s="1" t="s">
        <v>28</v>
      </c>
    </row>
    <row r="31" spans="1:12" hidden="1" x14ac:dyDescent="0.2">
      <c r="C31" s="1" t="s">
        <v>27</v>
      </c>
      <c r="D31" s="27" t="e">
        <f>0.3164*H17^-0.25</f>
        <v>#DIV/0!</v>
      </c>
      <c r="E31" s="1" t="s">
        <v>39</v>
      </c>
      <c r="F31" s="1" t="s">
        <v>43</v>
      </c>
      <c r="G31" s="1" t="s">
        <v>30</v>
      </c>
      <c r="H31" s="1">
        <f>(1/(2*LOG10((E11/H12))+1.14))^2</f>
        <v>1.831156760100059E-2</v>
      </c>
      <c r="I31" s="1" t="s">
        <v>37</v>
      </c>
      <c r="K31" s="1" t="s">
        <v>34</v>
      </c>
      <c r="L31" s="1" t="e">
        <f>1/(-2*LOG10(H12/(3.72*E11)+2.51/H17*((H17*E11/H12)^0.0625)*(1/0.48)))^2</f>
        <v>#DIV/0!</v>
      </c>
    </row>
    <row r="32" spans="1:12" hidden="1" x14ac:dyDescent="0.2">
      <c r="C32" s="1" t="s">
        <v>29</v>
      </c>
      <c r="D32" s="1" t="e">
        <f>0.0032+0.221*H17^-0.237</f>
        <v>#DIV/0!</v>
      </c>
      <c r="E32" s="1" t="s">
        <v>37</v>
      </c>
      <c r="F32" s="1" t="s">
        <v>44</v>
      </c>
      <c r="G32" s="1" t="s">
        <v>31</v>
      </c>
      <c r="H32" s="1">
        <f>0.0055+0.15*(H12/E11)^(1/3)</f>
        <v>1.9128404446241053E-2</v>
      </c>
      <c r="I32" s="1" t="s">
        <v>38</v>
      </c>
    </row>
    <row r="33" spans="1:12" hidden="1" x14ac:dyDescent="0.2">
      <c r="C33" s="1" t="s">
        <v>33</v>
      </c>
      <c r="D33" s="1" t="e">
        <f>0.0054+0.3964/H17^0.3</f>
        <v>#DIV/0!</v>
      </c>
      <c r="E33" s="1" t="s">
        <v>40</v>
      </c>
      <c r="F33" s="1" t="s">
        <v>45</v>
      </c>
    </row>
    <row r="34" spans="1:12" hidden="1" x14ac:dyDescent="0.2"/>
    <row r="36" spans="1:12" x14ac:dyDescent="0.2">
      <c r="A36" s="25" t="s">
        <v>47</v>
      </c>
      <c r="B36" s="1" t="s">
        <v>49</v>
      </c>
      <c r="C36" s="1" t="s">
        <v>48</v>
      </c>
      <c r="D36" s="1" t="s">
        <v>50</v>
      </c>
      <c r="F36" s="1" t="s">
        <v>58</v>
      </c>
    </row>
    <row r="37" spans="1:12" x14ac:dyDescent="0.2">
      <c r="A37" s="29" t="s">
        <v>53</v>
      </c>
      <c r="B37" s="3">
        <f>Parameters!H11</f>
        <v>0</v>
      </c>
      <c r="C37" s="2">
        <v>5</v>
      </c>
      <c r="D37" s="2">
        <f t="shared" ref="D37:D49" si="0">B37*C37</f>
        <v>0</v>
      </c>
    </row>
    <row r="38" spans="1:12" x14ac:dyDescent="0.2">
      <c r="A38" s="29" t="s">
        <v>54</v>
      </c>
      <c r="B38" s="3">
        <f>Parameters!H12</f>
        <v>0</v>
      </c>
      <c r="C38" s="2">
        <v>0.5</v>
      </c>
      <c r="D38" s="2">
        <f t="shared" si="0"/>
        <v>0</v>
      </c>
      <c r="I38" s="37"/>
    </row>
    <row r="39" spans="1:12" x14ac:dyDescent="0.2">
      <c r="A39" s="29" t="s">
        <v>62</v>
      </c>
      <c r="B39" s="3">
        <f>Parameters!H13</f>
        <v>0</v>
      </c>
      <c r="C39" s="2">
        <v>4</v>
      </c>
      <c r="D39" s="2">
        <f t="shared" si="0"/>
        <v>0</v>
      </c>
      <c r="I39" s="37"/>
    </row>
    <row r="40" spans="1:12" x14ac:dyDescent="0.2">
      <c r="A40" s="1" t="s">
        <v>94</v>
      </c>
      <c r="B40" s="3">
        <f>Parameters!H14</f>
        <v>0</v>
      </c>
      <c r="C40" s="2">
        <v>5</v>
      </c>
      <c r="D40" s="2">
        <f t="shared" si="0"/>
        <v>0</v>
      </c>
      <c r="I40" s="37"/>
    </row>
    <row r="41" spans="1:12" x14ac:dyDescent="0.2">
      <c r="A41" s="40" t="s">
        <v>95</v>
      </c>
      <c r="B41" s="3">
        <f>Parameters!H15</f>
        <v>0</v>
      </c>
      <c r="C41" s="2">
        <v>0.5</v>
      </c>
      <c r="D41" s="2">
        <f t="shared" si="0"/>
        <v>0</v>
      </c>
      <c r="I41" s="37"/>
    </row>
    <row r="42" spans="1:12" x14ac:dyDescent="0.2">
      <c r="A42" s="1" t="s">
        <v>63</v>
      </c>
      <c r="B42" s="3">
        <f>Parameters!H16</f>
        <v>0</v>
      </c>
      <c r="C42" s="2">
        <v>0.5</v>
      </c>
      <c r="D42" s="2">
        <f t="shared" si="0"/>
        <v>0</v>
      </c>
      <c r="L42" s="37"/>
    </row>
    <row r="43" spans="1:12" x14ac:dyDescent="0.2">
      <c r="A43" s="1" t="s">
        <v>64</v>
      </c>
      <c r="B43" s="3">
        <f>Parameters!H17</f>
        <v>0</v>
      </c>
      <c r="C43" s="2">
        <v>1</v>
      </c>
      <c r="D43" s="2">
        <f t="shared" si="0"/>
        <v>0</v>
      </c>
      <c r="L43" s="37"/>
    </row>
    <row r="44" spans="1:12" x14ac:dyDescent="0.2">
      <c r="A44" s="1" t="s">
        <v>51</v>
      </c>
      <c r="B44" s="3">
        <f>Parameters!H18</f>
        <v>0</v>
      </c>
      <c r="C44" s="2">
        <f>IF(H17&gt;2300,0.35,3.5)</f>
        <v>3.5</v>
      </c>
      <c r="D44" s="2">
        <f t="shared" si="0"/>
        <v>0</v>
      </c>
      <c r="F44" s="1" t="s">
        <v>89</v>
      </c>
      <c r="L44" s="37"/>
    </row>
    <row r="45" spans="1:12" x14ac:dyDescent="0.2">
      <c r="A45" s="1" t="s">
        <v>59</v>
      </c>
      <c r="B45" s="3">
        <f>Parameters!H19</f>
        <v>0</v>
      </c>
      <c r="C45" s="2">
        <v>1</v>
      </c>
      <c r="D45" s="2">
        <f t="shared" si="0"/>
        <v>0</v>
      </c>
      <c r="I45" s="37"/>
    </row>
    <row r="46" spans="1:12" x14ac:dyDescent="0.2">
      <c r="A46" s="1" t="s">
        <v>60</v>
      </c>
      <c r="B46" s="3">
        <f>Parameters!H20</f>
        <v>0</v>
      </c>
      <c r="C46" s="2">
        <v>0.1</v>
      </c>
      <c r="D46" s="2">
        <f t="shared" si="0"/>
        <v>0</v>
      </c>
      <c r="I46" s="37"/>
    </row>
    <row r="47" spans="1:12" x14ac:dyDescent="0.2">
      <c r="A47" s="1" t="s">
        <v>56</v>
      </c>
      <c r="B47" s="3">
        <f>Parameters!H21</f>
        <v>0</v>
      </c>
      <c r="C47" s="2">
        <v>1</v>
      </c>
      <c r="D47" s="2">
        <f t="shared" si="0"/>
        <v>0</v>
      </c>
      <c r="I47" s="37"/>
    </row>
    <row r="48" spans="1:12" x14ac:dyDescent="0.2">
      <c r="A48" s="1" t="s">
        <v>57</v>
      </c>
      <c r="B48" s="3">
        <f>Parameters!H22</f>
        <v>0</v>
      </c>
      <c r="C48" s="2">
        <v>6</v>
      </c>
      <c r="D48" s="2">
        <f t="shared" si="0"/>
        <v>0</v>
      </c>
      <c r="I48" s="37"/>
    </row>
    <row r="49" spans="1:9" x14ac:dyDescent="0.2">
      <c r="A49" s="1" t="s">
        <v>61</v>
      </c>
      <c r="B49" s="3">
        <f>Parameters!H23</f>
        <v>0</v>
      </c>
      <c r="C49" s="2">
        <v>0.2</v>
      </c>
      <c r="D49" s="2">
        <f t="shared" si="0"/>
        <v>0</v>
      </c>
      <c r="I49" s="37"/>
    </row>
    <row r="50" spans="1:9" x14ac:dyDescent="0.2">
      <c r="B50" s="38"/>
      <c r="C50" s="2"/>
      <c r="D50" s="2"/>
      <c r="I50" s="37"/>
    </row>
    <row r="51" spans="1:9" x14ac:dyDescent="0.2">
      <c r="A51" s="1" t="s">
        <v>46</v>
      </c>
      <c r="B51" s="2"/>
      <c r="C51" s="2"/>
      <c r="D51" s="2">
        <f>SUM(D37:D50)</f>
        <v>0</v>
      </c>
    </row>
  </sheetData>
  <phoneticPr fontId="4" type="noConversion"/>
  <conditionalFormatting sqref="D28">
    <cfRule type="cellIs" dxfId="51" priority="1" stopIfTrue="1" operator="lessThan">
      <formula>65</formula>
    </cfRule>
  </conditionalFormatting>
  <conditionalFormatting sqref="E7 E12 E10 K11 B37:B49">
    <cfRule type="cellIs" dxfId="50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>
    <pageSetUpPr fitToPage="1"/>
  </sheetPr>
  <dimension ref="A2:Q51"/>
  <sheetViews>
    <sheetView workbookViewId="0">
      <selection activeCell="B37" sqref="B37"/>
    </sheetView>
  </sheetViews>
  <sheetFormatPr defaultRowHeight="12.75" x14ac:dyDescent="0.2"/>
  <cols>
    <col min="1" max="1" width="12.140625" style="1" customWidth="1"/>
    <col min="2" max="3" width="9.140625" style="1"/>
    <col min="4" max="4" width="12.42578125" style="1" bestFit="1" customWidth="1"/>
    <col min="5" max="5" width="12" style="1" bestFit="1" customWidth="1"/>
    <col min="6" max="6" width="10.7109375" style="1" customWidth="1"/>
    <col min="7" max="7" width="12.42578125" style="1" bestFit="1" customWidth="1"/>
    <col min="8" max="9" width="9.42578125" style="1" customWidth="1"/>
    <col min="10" max="10" width="14.140625" style="1" bestFit="1" customWidth="1"/>
    <col min="11" max="11" width="5" style="1" bestFit="1" customWidth="1"/>
    <col min="12" max="12" width="14.85546875" style="1" bestFit="1" customWidth="1"/>
    <col min="13" max="13" width="3.7109375" style="1" bestFit="1" customWidth="1"/>
    <col min="14" max="14" width="8.85546875" style="1" bestFit="1" customWidth="1"/>
    <col min="15" max="15" width="3.7109375" style="1" bestFit="1" customWidth="1"/>
    <col min="16" max="16" width="7.42578125" style="1" bestFit="1" customWidth="1"/>
    <col min="17" max="17" width="3.7109375" style="1" bestFit="1" customWidth="1"/>
    <col min="18" max="18" width="6.85546875" style="1" bestFit="1" customWidth="1"/>
    <col min="19" max="16384" width="9.140625" style="1"/>
  </cols>
  <sheetData>
    <row r="2" spans="1:17" ht="15.75" x14ac:dyDescent="0.25">
      <c r="A2" s="22" t="s">
        <v>0</v>
      </c>
    </row>
    <row r="6" spans="1:17" x14ac:dyDescent="0.2">
      <c r="A6" s="26" t="s">
        <v>85</v>
      </c>
    </row>
    <row r="7" spans="1:17" x14ac:dyDescent="0.2">
      <c r="A7" s="25" t="s">
        <v>4</v>
      </c>
      <c r="E7" s="3">
        <f>Parameters!I7</f>
        <v>0</v>
      </c>
      <c r="F7" s="27" t="s">
        <v>86</v>
      </c>
    </row>
    <row r="8" spans="1:17" x14ac:dyDescent="0.2">
      <c r="A8" s="25" t="s">
        <v>5</v>
      </c>
      <c r="E8" s="27">
        <f>total!F18</f>
        <v>1025</v>
      </c>
      <c r="F8" s="27" t="s">
        <v>11</v>
      </c>
      <c r="Q8" s="28"/>
    </row>
    <row r="9" spans="1:17" x14ac:dyDescent="0.2">
      <c r="A9" s="25" t="s">
        <v>9</v>
      </c>
      <c r="E9" s="27">
        <f>total!F17</f>
        <v>1</v>
      </c>
      <c r="F9" s="27" t="s">
        <v>73</v>
      </c>
    </row>
    <row r="10" spans="1:17" x14ac:dyDescent="0.2">
      <c r="A10" s="25" t="s">
        <v>6</v>
      </c>
      <c r="E10" s="3">
        <f>Parameters!I8</f>
        <v>0</v>
      </c>
      <c r="F10" s="27" t="s">
        <v>12</v>
      </c>
    </row>
    <row r="11" spans="1:17" x14ac:dyDescent="0.2">
      <c r="A11" s="25" t="s">
        <v>7</v>
      </c>
      <c r="E11" s="27">
        <f>VLOOKUP(H11,'pipe dimensions'!A1:D21,K11+1)</f>
        <v>150</v>
      </c>
      <c r="F11" s="27" t="s">
        <v>13</v>
      </c>
      <c r="G11" s="28" t="s">
        <v>68</v>
      </c>
      <c r="H11" s="28">
        <v>150</v>
      </c>
      <c r="J11" s="1" t="s">
        <v>72</v>
      </c>
      <c r="K11" s="3">
        <f>Parameters!I10</f>
        <v>0</v>
      </c>
      <c r="L11" s="1" t="s">
        <v>74</v>
      </c>
    </row>
    <row r="12" spans="1:17" x14ac:dyDescent="0.2">
      <c r="A12" s="25" t="s">
        <v>14</v>
      </c>
      <c r="E12" s="3">
        <f>Parameters!I9</f>
        <v>0</v>
      </c>
      <c r="F12" s="27"/>
      <c r="G12" s="28" t="s">
        <v>24</v>
      </c>
      <c r="H12" s="28">
        <v>0.15</v>
      </c>
      <c r="I12" s="1" t="s">
        <v>13</v>
      </c>
      <c r="J12" s="28" t="s">
        <v>25</v>
      </c>
      <c r="K12" s="28">
        <v>0.02</v>
      </c>
      <c r="L12" s="1" t="s">
        <v>13</v>
      </c>
    </row>
    <row r="13" spans="1:17" x14ac:dyDescent="0.2">
      <c r="A13" s="25" t="s">
        <v>8</v>
      </c>
      <c r="E13" s="27">
        <f>IF(E10&gt;0,D51,0)</f>
        <v>0</v>
      </c>
      <c r="F13" s="27"/>
    </row>
    <row r="15" spans="1:17" x14ac:dyDescent="0.2">
      <c r="A15" s="25" t="s">
        <v>1</v>
      </c>
      <c r="H15" s="27"/>
    </row>
    <row r="16" spans="1:17" x14ac:dyDescent="0.2">
      <c r="A16" s="29" t="s">
        <v>3</v>
      </c>
      <c r="D16" s="25" t="s">
        <v>75</v>
      </c>
      <c r="H16" s="30">
        <f>E7/3600/(0.785*(0.001*E11)*(0.001*E11))</f>
        <v>0</v>
      </c>
      <c r="I16" s="27" t="s">
        <v>2</v>
      </c>
    </row>
    <row r="17" spans="1:12" x14ac:dyDescent="0.2">
      <c r="A17" s="29" t="s">
        <v>10</v>
      </c>
      <c r="D17" s="25" t="s">
        <v>76</v>
      </c>
      <c r="H17" s="30">
        <f>H16*0.001*E11/E9*1000000</f>
        <v>0</v>
      </c>
      <c r="I17" s="31">
        <f>H17</f>
        <v>0</v>
      </c>
    </row>
    <row r="18" spans="1:12" x14ac:dyDescent="0.2">
      <c r="A18" s="29" t="s">
        <v>32</v>
      </c>
      <c r="D18" s="25"/>
      <c r="H18" s="32">
        <f>H12/E11</f>
        <v>1E-3</v>
      </c>
      <c r="I18" s="27"/>
    </row>
    <row r="19" spans="1:12" x14ac:dyDescent="0.2">
      <c r="A19" s="29" t="s">
        <v>26</v>
      </c>
      <c r="D19" s="25"/>
      <c r="H19" s="30">
        <f>H17*H12/E11</f>
        <v>0</v>
      </c>
      <c r="I19" s="27"/>
    </row>
    <row r="20" spans="1:12" x14ac:dyDescent="0.2">
      <c r="A20" s="29"/>
      <c r="D20" s="25"/>
      <c r="H20" s="30"/>
      <c r="I20" s="27"/>
    </row>
    <row r="21" spans="1:12" x14ac:dyDescent="0.2">
      <c r="A21" s="29" t="s">
        <v>78</v>
      </c>
      <c r="D21" s="1" t="s">
        <v>77</v>
      </c>
      <c r="H21" s="32">
        <f>IF((E7&gt;0),64/H17,0)</f>
        <v>0</v>
      </c>
      <c r="I21" s="27"/>
    </row>
    <row r="22" spans="1:12" x14ac:dyDescent="0.2">
      <c r="A22" s="29" t="s">
        <v>80</v>
      </c>
      <c r="D22" s="1" t="s">
        <v>79</v>
      </c>
      <c r="H22" s="32">
        <f>IF((E7&gt;0),(0.0055*(1+(20000*IF(E12&gt;1,K12/1000,H12/1000)/(0.001*E11)+1000000/H17)^0.333333)),0)</f>
        <v>0</v>
      </c>
      <c r="I22" s="27"/>
    </row>
    <row r="23" spans="1:12" x14ac:dyDescent="0.2">
      <c r="A23" s="1" t="s">
        <v>82</v>
      </c>
      <c r="D23" s="1" t="s">
        <v>81</v>
      </c>
      <c r="H23" s="33">
        <f>((IF(H17&gt;2320,H22,H21))*E10/(0.001*E11)+E13)*E8*H16*H16/(2*100000)</f>
        <v>0</v>
      </c>
      <c r="I23" s="27" t="s">
        <v>52</v>
      </c>
      <c r="J23" s="1" t="s">
        <v>19</v>
      </c>
    </row>
    <row r="24" spans="1:12" x14ac:dyDescent="0.2">
      <c r="H24" s="30">
        <f>+H23*100/(9.81)</f>
        <v>0</v>
      </c>
      <c r="I24" s="27" t="s">
        <v>15</v>
      </c>
      <c r="J24" s="1" t="s">
        <v>20</v>
      </c>
    </row>
    <row r="25" spans="1:12" x14ac:dyDescent="0.2">
      <c r="H25" s="27" t="s">
        <v>16</v>
      </c>
      <c r="I25" s="27"/>
    </row>
    <row r="26" spans="1:12" s="24" customFormat="1" hidden="1" x14ac:dyDescent="0.2"/>
    <row r="27" spans="1:12" hidden="1" x14ac:dyDescent="0.2"/>
    <row r="28" spans="1:12" hidden="1" x14ac:dyDescent="0.2">
      <c r="A28" s="1" t="s">
        <v>41</v>
      </c>
      <c r="D28" s="1" t="s">
        <v>18</v>
      </c>
      <c r="H28" s="1" t="s">
        <v>21</v>
      </c>
      <c r="L28" s="1" t="s">
        <v>23</v>
      </c>
    </row>
    <row r="29" spans="1:12" hidden="1" x14ac:dyDescent="0.2">
      <c r="D29" s="34" t="s">
        <v>22</v>
      </c>
      <c r="F29" s="1" t="s">
        <v>42</v>
      </c>
      <c r="H29" s="35" t="s">
        <v>35</v>
      </c>
      <c r="L29" s="36" t="s">
        <v>36</v>
      </c>
    </row>
    <row r="30" spans="1:12" hidden="1" x14ac:dyDescent="0.2">
      <c r="B30" s="1" t="s">
        <v>28</v>
      </c>
    </row>
    <row r="31" spans="1:12" hidden="1" x14ac:dyDescent="0.2">
      <c r="C31" s="1" t="s">
        <v>27</v>
      </c>
      <c r="D31" s="27" t="e">
        <f>0.3164*H17^-0.25</f>
        <v>#DIV/0!</v>
      </c>
      <c r="E31" s="1" t="s">
        <v>39</v>
      </c>
      <c r="F31" s="1" t="s">
        <v>43</v>
      </c>
      <c r="G31" s="1" t="s">
        <v>30</v>
      </c>
      <c r="H31" s="1">
        <f>(1/(2*LOG10((E11/H12))+1.14))^2</f>
        <v>1.961568941302011E-2</v>
      </c>
      <c r="I31" s="1" t="s">
        <v>37</v>
      </c>
      <c r="K31" s="1" t="s">
        <v>34</v>
      </c>
      <c r="L31" s="1" t="e">
        <f>1/(-2*LOG10(H12/(3.72*E11)+2.51/H17*((H17*E11/H12)^0.0625)*(1/0.48)))^2</f>
        <v>#DIV/0!</v>
      </c>
    </row>
    <row r="32" spans="1:12" hidden="1" x14ac:dyDescent="0.2">
      <c r="C32" s="1" t="s">
        <v>29</v>
      </c>
      <c r="D32" s="1" t="e">
        <f>0.0032+0.221*H17^-0.237</f>
        <v>#DIV/0!</v>
      </c>
      <c r="E32" s="1" t="s">
        <v>37</v>
      </c>
      <c r="F32" s="1" t="s">
        <v>44</v>
      </c>
      <c r="G32" s="1" t="s">
        <v>31</v>
      </c>
      <c r="H32" s="1">
        <f>0.0055+0.15*(H12/E11)^(1/3)</f>
        <v>2.0500000000000004E-2</v>
      </c>
      <c r="I32" s="1" t="s">
        <v>38</v>
      </c>
    </row>
    <row r="33" spans="1:12" hidden="1" x14ac:dyDescent="0.2">
      <c r="C33" s="1" t="s">
        <v>33</v>
      </c>
      <c r="D33" s="1" t="e">
        <f>0.0054+0.3964/H17^0.3</f>
        <v>#DIV/0!</v>
      </c>
      <c r="E33" s="1" t="s">
        <v>40</v>
      </c>
      <c r="F33" s="1" t="s">
        <v>45</v>
      </c>
    </row>
    <row r="34" spans="1:12" hidden="1" x14ac:dyDescent="0.2"/>
    <row r="36" spans="1:12" x14ac:dyDescent="0.2">
      <c r="A36" s="25" t="s">
        <v>47</v>
      </c>
      <c r="B36" s="1" t="s">
        <v>49</v>
      </c>
      <c r="C36" s="1" t="s">
        <v>48</v>
      </c>
      <c r="D36" s="1" t="s">
        <v>50</v>
      </c>
      <c r="F36" s="1" t="s">
        <v>58</v>
      </c>
    </row>
    <row r="37" spans="1:12" x14ac:dyDescent="0.2">
      <c r="A37" s="29" t="s">
        <v>53</v>
      </c>
      <c r="B37" s="3">
        <f>Parameters!I11</f>
        <v>0</v>
      </c>
      <c r="C37" s="2">
        <v>5</v>
      </c>
      <c r="D37" s="2">
        <f t="shared" ref="D37:D49" si="0">B37*C37</f>
        <v>0</v>
      </c>
    </row>
    <row r="38" spans="1:12" x14ac:dyDescent="0.2">
      <c r="A38" s="29" t="s">
        <v>54</v>
      </c>
      <c r="B38" s="3">
        <f>Parameters!I12</f>
        <v>0</v>
      </c>
      <c r="C38" s="2">
        <v>0.5</v>
      </c>
      <c r="D38" s="2">
        <f t="shared" si="0"/>
        <v>0</v>
      </c>
      <c r="I38" s="37"/>
    </row>
    <row r="39" spans="1:12" x14ac:dyDescent="0.2">
      <c r="A39" s="29" t="s">
        <v>62</v>
      </c>
      <c r="B39" s="3">
        <f>Parameters!I13</f>
        <v>0</v>
      </c>
      <c r="C39" s="2">
        <v>4</v>
      </c>
      <c r="D39" s="2">
        <f t="shared" si="0"/>
        <v>0</v>
      </c>
      <c r="I39" s="37"/>
    </row>
    <row r="40" spans="1:12" x14ac:dyDescent="0.2">
      <c r="A40" s="1" t="s">
        <v>94</v>
      </c>
      <c r="B40" s="3">
        <f>Parameters!I14</f>
        <v>0</v>
      </c>
      <c r="C40" s="2">
        <v>5</v>
      </c>
      <c r="D40" s="2">
        <f t="shared" si="0"/>
        <v>0</v>
      </c>
      <c r="I40" s="37"/>
    </row>
    <row r="41" spans="1:12" x14ac:dyDescent="0.2">
      <c r="A41" s="40" t="s">
        <v>95</v>
      </c>
      <c r="B41" s="3">
        <f>Parameters!I15</f>
        <v>0</v>
      </c>
      <c r="C41" s="2">
        <v>0.5</v>
      </c>
      <c r="D41" s="2">
        <f t="shared" si="0"/>
        <v>0</v>
      </c>
      <c r="I41" s="37"/>
    </row>
    <row r="42" spans="1:12" x14ac:dyDescent="0.2">
      <c r="A42" s="1" t="s">
        <v>63</v>
      </c>
      <c r="B42" s="3">
        <f>Parameters!I16</f>
        <v>0</v>
      </c>
      <c r="C42" s="2">
        <v>0.5</v>
      </c>
      <c r="D42" s="2">
        <f t="shared" si="0"/>
        <v>0</v>
      </c>
      <c r="L42" s="37"/>
    </row>
    <row r="43" spans="1:12" x14ac:dyDescent="0.2">
      <c r="A43" s="1" t="s">
        <v>64</v>
      </c>
      <c r="B43" s="3">
        <f>Parameters!I17</f>
        <v>0</v>
      </c>
      <c r="C43" s="2">
        <v>1</v>
      </c>
      <c r="D43" s="2">
        <f t="shared" si="0"/>
        <v>0</v>
      </c>
      <c r="L43" s="37"/>
    </row>
    <row r="44" spans="1:12" x14ac:dyDescent="0.2">
      <c r="A44" s="1" t="s">
        <v>51</v>
      </c>
      <c r="B44" s="3">
        <f>Parameters!I18</f>
        <v>0</v>
      </c>
      <c r="C44" s="2">
        <f>IF(H17&gt;2300,0.35,3.5)</f>
        <v>3.5</v>
      </c>
      <c r="D44" s="2">
        <f t="shared" si="0"/>
        <v>0</v>
      </c>
      <c r="F44" s="1" t="s">
        <v>89</v>
      </c>
      <c r="L44" s="37"/>
    </row>
    <row r="45" spans="1:12" x14ac:dyDescent="0.2">
      <c r="A45" s="1" t="s">
        <v>59</v>
      </c>
      <c r="B45" s="3">
        <f>Parameters!I19</f>
        <v>0</v>
      </c>
      <c r="C45" s="2">
        <v>1</v>
      </c>
      <c r="D45" s="2">
        <f t="shared" si="0"/>
        <v>0</v>
      </c>
      <c r="I45" s="37"/>
    </row>
    <row r="46" spans="1:12" x14ac:dyDescent="0.2">
      <c r="A46" s="1" t="s">
        <v>60</v>
      </c>
      <c r="B46" s="3">
        <f>Parameters!I20</f>
        <v>0</v>
      </c>
      <c r="C46" s="2">
        <v>0.1</v>
      </c>
      <c r="D46" s="2">
        <f t="shared" si="0"/>
        <v>0</v>
      </c>
      <c r="I46" s="37"/>
    </row>
    <row r="47" spans="1:12" x14ac:dyDescent="0.2">
      <c r="A47" s="1" t="s">
        <v>56</v>
      </c>
      <c r="B47" s="3">
        <f>Parameters!I21</f>
        <v>0</v>
      </c>
      <c r="C47" s="2">
        <v>1</v>
      </c>
      <c r="D47" s="2">
        <f t="shared" si="0"/>
        <v>0</v>
      </c>
      <c r="I47" s="37"/>
    </row>
    <row r="48" spans="1:12" x14ac:dyDescent="0.2">
      <c r="A48" s="1" t="s">
        <v>57</v>
      </c>
      <c r="B48" s="3">
        <f>Parameters!I22</f>
        <v>0</v>
      </c>
      <c r="C48" s="2">
        <v>6</v>
      </c>
      <c r="D48" s="2">
        <f t="shared" si="0"/>
        <v>0</v>
      </c>
      <c r="I48" s="37"/>
    </row>
    <row r="49" spans="1:9" x14ac:dyDescent="0.2">
      <c r="A49" s="1" t="s">
        <v>61</v>
      </c>
      <c r="B49" s="3">
        <f>Parameters!I23</f>
        <v>0</v>
      </c>
      <c r="C49" s="2">
        <v>0.2</v>
      </c>
      <c r="D49" s="2">
        <f t="shared" si="0"/>
        <v>0</v>
      </c>
      <c r="I49" s="37"/>
    </row>
    <row r="50" spans="1:9" x14ac:dyDescent="0.2">
      <c r="B50" s="38"/>
      <c r="C50" s="2"/>
      <c r="D50" s="2"/>
      <c r="I50" s="37"/>
    </row>
    <row r="51" spans="1:9" x14ac:dyDescent="0.2">
      <c r="A51" s="1" t="s">
        <v>46</v>
      </c>
      <c r="B51" s="2"/>
      <c r="C51" s="2"/>
      <c r="D51" s="2">
        <f>SUM(D37:D50)</f>
        <v>0</v>
      </c>
    </row>
  </sheetData>
  <phoneticPr fontId="4" type="noConversion"/>
  <conditionalFormatting sqref="D28">
    <cfRule type="cellIs" dxfId="49" priority="1" stopIfTrue="1" operator="lessThan">
      <formula>65</formula>
    </cfRule>
  </conditionalFormatting>
  <conditionalFormatting sqref="E7 E12 E10 K11 B37:B49">
    <cfRule type="cellIs" dxfId="48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>
    <pageSetUpPr fitToPage="1"/>
  </sheetPr>
  <dimension ref="A2:Q51"/>
  <sheetViews>
    <sheetView workbookViewId="0">
      <selection activeCell="C45" sqref="C45"/>
    </sheetView>
  </sheetViews>
  <sheetFormatPr defaultRowHeight="12.75" x14ac:dyDescent="0.2"/>
  <cols>
    <col min="1" max="1" width="12.140625" style="1" customWidth="1"/>
    <col min="2" max="3" width="9.140625" style="1"/>
    <col min="4" max="4" width="12.42578125" style="1" bestFit="1" customWidth="1"/>
    <col min="5" max="5" width="12" style="1" bestFit="1" customWidth="1"/>
    <col min="6" max="6" width="10.7109375" style="1" customWidth="1"/>
    <col min="7" max="7" width="12.42578125" style="1" bestFit="1" customWidth="1"/>
    <col min="8" max="9" width="9.42578125" style="1" customWidth="1"/>
    <col min="10" max="10" width="14.140625" style="1" bestFit="1" customWidth="1"/>
    <col min="11" max="11" width="5" style="1" bestFit="1" customWidth="1"/>
    <col min="12" max="12" width="14.85546875" style="1" bestFit="1" customWidth="1"/>
    <col min="13" max="13" width="3.7109375" style="1" bestFit="1" customWidth="1"/>
    <col min="14" max="14" width="8.85546875" style="1" bestFit="1" customWidth="1"/>
    <col min="15" max="15" width="3.7109375" style="1" bestFit="1" customWidth="1"/>
    <col min="16" max="16" width="7.42578125" style="1" bestFit="1" customWidth="1"/>
    <col min="17" max="17" width="3.7109375" style="1" bestFit="1" customWidth="1"/>
    <col min="18" max="18" width="6.85546875" style="1" bestFit="1" customWidth="1"/>
    <col min="19" max="16384" width="9.140625" style="1"/>
  </cols>
  <sheetData>
    <row r="2" spans="1:17" ht="15.75" x14ac:dyDescent="0.25">
      <c r="A2" s="22" t="s">
        <v>0</v>
      </c>
    </row>
    <row r="6" spans="1:17" x14ac:dyDescent="0.2">
      <c r="A6" s="26" t="s">
        <v>85</v>
      </c>
    </row>
    <row r="7" spans="1:17" x14ac:dyDescent="0.2">
      <c r="A7" s="25" t="s">
        <v>4</v>
      </c>
      <c r="E7" s="3">
        <f>Parameters!J7</f>
        <v>0</v>
      </c>
      <c r="F7" s="27" t="s">
        <v>86</v>
      </c>
    </row>
    <row r="8" spans="1:17" x14ac:dyDescent="0.2">
      <c r="A8" s="25" t="s">
        <v>5</v>
      </c>
      <c r="E8" s="27">
        <f>total!F18</f>
        <v>1025</v>
      </c>
      <c r="F8" s="27" t="s">
        <v>11</v>
      </c>
      <c r="Q8" s="28"/>
    </row>
    <row r="9" spans="1:17" x14ac:dyDescent="0.2">
      <c r="A9" s="25" t="s">
        <v>9</v>
      </c>
      <c r="E9" s="27">
        <f>total!F17</f>
        <v>1</v>
      </c>
      <c r="F9" s="27" t="s">
        <v>73</v>
      </c>
    </row>
    <row r="10" spans="1:17" x14ac:dyDescent="0.2">
      <c r="A10" s="25" t="s">
        <v>6</v>
      </c>
      <c r="E10" s="3">
        <f>Parameters!J8</f>
        <v>0</v>
      </c>
      <c r="F10" s="27" t="s">
        <v>12</v>
      </c>
    </row>
    <row r="11" spans="1:17" x14ac:dyDescent="0.2">
      <c r="A11" s="25" t="s">
        <v>7</v>
      </c>
      <c r="E11" s="27">
        <f>VLOOKUP(H11,'pipe dimensions'!A1:D21,K11+1)</f>
        <v>125</v>
      </c>
      <c r="F11" s="27" t="s">
        <v>13</v>
      </c>
      <c r="G11" s="28" t="s">
        <v>68</v>
      </c>
      <c r="H11" s="28">
        <v>125</v>
      </c>
      <c r="J11" s="1" t="s">
        <v>72</v>
      </c>
      <c r="K11" s="3">
        <f>Parameters!J10</f>
        <v>0</v>
      </c>
      <c r="L11" s="1" t="s">
        <v>74</v>
      </c>
    </row>
    <row r="12" spans="1:17" x14ac:dyDescent="0.2">
      <c r="A12" s="25" t="s">
        <v>14</v>
      </c>
      <c r="E12" s="3">
        <f>Parameters!J9</f>
        <v>0</v>
      </c>
      <c r="F12" s="27"/>
      <c r="G12" s="28" t="s">
        <v>24</v>
      </c>
      <c r="H12" s="28">
        <v>0.15</v>
      </c>
      <c r="I12" s="1" t="s">
        <v>13</v>
      </c>
      <c r="J12" s="28" t="s">
        <v>25</v>
      </c>
      <c r="K12" s="28">
        <v>0.02</v>
      </c>
      <c r="L12" s="1" t="s">
        <v>13</v>
      </c>
    </row>
    <row r="13" spans="1:17" x14ac:dyDescent="0.2">
      <c r="A13" s="25" t="s">
        <v>8</v>
      </c>
      <c r="E13" s="27">
        <f>IF(E10&gt;0,D51,0)</f>
        <v>0</v>
      </c>
      <c r="F13" s="27"/>
    </row>
    <row r="15" spans="1:17" x14ac:dyDescent="0.2">
      <c r="A15" s="25" t="s">
        <v>1</v>
      </c>
      <c r="H15" s="27"/>
    </row>
    <row r="16" spans="1:17" x14ac:dyDescent="0.2">
      <c r="A16" s="29" t="s">
        <v>3</v>
      </c>
      <c r="D16" s="25" t="s">
        <v>75</v>
      </c>
      <c r="H16" s="30">
        <f>E7/3600/(0.785*(0.001*E11)*(0.001*E11))</f>
        <v>0</v>
      </c>
      <c r="I16" s="27" t="s">
        <v>2</v>
      </c>
    </row>
    <row r="17" spans="1:12" x14ac:dyDescent="0.2">
      <c r="A17" s="29" t="s">
        <v>10</v>
      </c>
      <c r="D17" s="25" t="s">
        <v>76</v>
      </c>
      <c r="H17" s="30">
        <f>H16*0.001*E11/E9*1000000</f>
        <v>0</v>
      </c>
      <c r="I17" s="31">
        <f>H17</f>
        <v>0</v>
      </c>
    </row>
    <row r="18" spans="1:12" x14ac:dyDescent="0.2">
      <c r="A18" s="29" t="s">
        <v>32</v>
      </c>
      <c r="D18" s="25"/>
      <c r="H18" s="32">
        <f>H12/E11</f>
        <v>1.1999999999999999E-3</v>
      </c>
      <c r="I18" s="27"/>
    </row>
    <row r="19" spans="1:12" x14ac:dyDescent="0.2">
      <c r="A19" s="29" t="s">
        <v>26</v>
      </c>
      <c r="D19" s="25"/>
      <c r="H19" s="30">
        <f>H17*H12/E11</f>
        <v>0</v>
      </c>
      <c r="I19" s="27"/>
    </row>
    <row r="20" spans="1:12" x14ac:dyDescent="0.2">
      <c r="A20" s="29"/>
      <c r="D20" s="25"/>
      <c r="H20" s="30"/>
      <c r="I20" s="27"/>
    </row>
    <row r="21" spans="1:12" x14ac:dyDescent="0.2">
      <c r="A21" s="29" t="s">
        <v>78</v>
      </c>
      <c r="D21" s="1" t="s">
        <v>77</v>
      </c>
      <c r="H21" s="32">
        <f>IF((E7&gt;0),64/H17,0)</f>
        <v>0</v>
      </c>
      <c r="I21" s="27"/>
    </row>
    <row r="22" spans="1:12" x14ac:dyDescent="0.2">
      <c r="A22" s="29" t="s">
        <v>80</v>
      </c>
      <c r="D22" s="1" t="s">
        <v>79</v>
      </c>
      <c r="H22" s="32">
        <f>IF((E7&gt;0),(0.0055*(1+(20000*IF(E12&gt;1,K12/1000,H12/1000)/(0.001*E11)+1000000/H17)^0.333333)),0)</f>
        <v>0</v>
      </c>
      <c r="I22" s="27"/>
    </row>
    <row r="23" spans="1:12" x14ac:dyDescent="0.2">
      <c r="A23" s="1" t="s">
        <v>82</v>
      </c>
      <c r="D23" s="1" t="s">
        <v>81</v>
      </c>
      <c r="H23" s="33">
        <f>((IF(H17&gt;2320,H22,H21))*E10/(0.001*E11)+E13)*E8*H16*H16/(2*100000)</f>
        <v>0</v>
      </c>
      <c r="I23" s="27" t="s">
        <v>52</v>
      </c>
      <c r="J23" s="1" t="s">
        <v>19</v>
      </c>
    </row>
    <row r="24" spans="1:12" x14ac:dyDescent="0.2">
      <c r="H24" s="30">
        <f>+H23*100/(9.81)</f>
        <v>0</v>
      </c>
      <c r="I24" s="27" t="s">
        <v>15</v>
      </c>
      <c r="J24" s="1" t="s">
        <v>20</v>
      </c>
    </row>
    <row r="25" spans="1:12" x14ac:dyDescent="0.2">
      <c r="H25" s="27" t="s">
        <v>16</v>
      </c>
      <c r="I25" s="27"/>
    </row>
    <row r="26" spans="1:12" s="24" customFormat="1" hidden="1" x14ac:dyDescent="0.2"/>
    <row r="27" spans="1:12" hidden="1" x14ac:dyDescent="0.2"/>
    <row r="28" spans="1:12" hidden="1" x14ac:dyDescent="0.2">
      <c r="A28" s="1" t="s">
        <v>41</v>
      </c>
      <c r="D28" s="1" t="s">
        <v>18</v>
      </c>
      <c r="H28" s="1" t="s">
        <v>21</v>
      </c>
      <c r="L28" s="1" t="s">
        <v>23</v>
      </c>
    </row>
    <row r="29" spans="1:12" hidden="1" x14ac:dyDescent="0.2">
      <c r="D29" s="34" t="s">
        <v>22</v>
      </c>
      <c r="F29" s="1" t="s">
        <v>42</v>
      </c>
      <c r="H29" s="35" t="s">
        <v>35</v>
      </c>
      <c r="L29" s="36" t="s">
        <v>36</v>
      </c>
    </row>
    <row r="30" spans="1:12" hidden="1" x14ac:dyDescent="0.2">
      <c r="B30" s="1" t="s">
        <v>28</v>
      </c>
    </row>
    <row r="31" spans="1:12" hidden="1" x14ac:dyDescent="0.2">
      <c r="C31" s="1" t="s">
        <v>27</v>
      </c>
      <c r="D31" s="27" t="e">
        <f>0.3164*H17^-0.25</f>
        <v>#DIV/0!</v>
      </c>
      <c r="E31" s="1" t="s">
        <v>39</v>
      </c>
      <c r="F31" s="1" t="s">
        <v>43</v>
      </c>
      <c r="G31" s="1" t="s">
        <v>30</v>
      </c>
      <c r="H31" s="1">
        <f>(1/(2*LOG10((E11/H12))+1.14))^2</f>
        <v>2.0515655969308984E-2</v>
      </c>
      <c r="I31" s="1" t="s">
        <v>37</v>
      </c>
      <c r="K31" s="1" t="s">
        <v>34</v>
      </c>
      <c r="L31" s="1" t="e">
        <f>1/(-2*LOG10(H12/(3.72*E11)+2.51/H17*((H17*E11/H12)^0.0625)*(1/0.48)))^2</f>
        <v>#DIV/0!</v>
      </c>
    </row>
    <row r="32" spans="1:12" hidden="1" x14ac:dyDescent="0.2">
      <c r="C32" s="1" t="s">
        <v>29</v>
      </c>
      <c r="D32" s="1" t="e">
        <f>0.0032+0.221*H17^-0.237</f>
        <v>#DIV/0!</v>
      </c>
      <c r="E32" s="1" t="s">
        <v>37</v>
      </c>
      <c r="F32" s="1" t="s">
        <v>44</v>
      </c>
      <c r="G32" s="1" t="s">
        <v>31</v>
      </c>
      <c r="H32" s="1">
        <f>0.0055+0.15*(H12/E11)^(1/3)</f>
        <v>2.1439878537739168E-2</v>
      </c>
      <c r="I32" s="1" t="s">
        <v>38</v>
      </c>
    </row>
    <row r="33" spans="1:12" hidden="1" x14ac:dyDescent="0.2">
      <c r="C33" s="1" t="s">
        <v>33</v>
      </c>
      <c r="D33" s="1" t="e">
        <f>0.0054+0.3964/H17^0.3</f>
        <v>#DIV/0!</v>
      </c>
      <c r="E33" s="1" t="s">
        <v>40</v>
      </c>
      <c r="F33" s="1" t="s">
        <v>45</v>
      </c>
    </row>
    <row r="34" spans="1:12" hidden="1" x14ac:dyDescent="0.2"/>
    <row r="36" spans="1:12" x14ac:dyDescent="0.2">
      <c r="A36" s="25" t="s">
        <v>47</v>
      </c>
      <c r="B36" s="1" t="s">
        <v>49</v>
      </c>
      <c r="C36" s="1" t="s">
        <v>48</v>
      </c>
      <c r="D36" s="1" t="s">
        <v>50</v>
      </c>
      <c r="F36" s="1" t="s">
        <v>58</v>
      </c>
    </row>
    <row r="37" spans="1:12" x14ac:dyDescent="0.2">
      <c r="A37" s="29" t="s">
        <v>53</v>
      </c>
      <c r="B37" s="3">
        <f>Parameters!J11</f>
        <v>0</v>
      </c>
      <c r="C37" s="2">
        <v>5</v>
      </c>
      <c r="D37" s="2">
        <f t="shared" ref="D37:D49" si="0">B37*C37</f>
        <v>0</v>
      </c>
    </row>
    <row r="38" spans="1:12" x14ac:dyDescent="0.2">
      <c r="A38" s="29" t="s">
        <v>54</v>
      </c>
      <c r="B38" s="3">
        <f>Parameters!J12</f>
        <v>0</v>
      </c>
      <c r="C38" s="2">
        <v>0.5</v>
      </c>
      <c r="D38" s="2">
        <f t="shared" si="0"/>
        <v>0</v>
      </c>
      <c r="I38" s="37"/>
    </row>
    <row r="39" spans="1:12" x14ac:dyDescent="0.2">
      <c r="A39" s="29" t="s">
        <v>62</v>
      </c>
      <c r="B39" s="3">
        <f>Parameters!J13</f>
        <v>0</v>
      </c>
      <c r="C39" s="2">
        <v>4</v>
      </c>
      <c r="D39" s="2">
        <f t="shared" si="0"/>
        <v>0</v>
      </c>
      <c r="I39" s="37"/>
    </row>
    <row r="40" spans="1:12" x14ac:dyDescent="0.2">
      <c r="A40" s="1" t="s">
        <v>94</v>
      </c>
      <c r="B40" s="3">
        <f>Parameters!J14</f>
        <v>0</v>
      </c>
      <c r="C40" s="2">
        <v>5</v>
      </c>
      <c r="D40" s="2">
        <f t="shared" si="0"/>
        <v>0</v>
      </c>
      <c r="I40" s="37"/>
    </row>
    <row r="41" spans="1:12" x14ac:dyDescent="0.2">
      <c r="A41" s="40" t="s">
        <v>95</v>
      </c>
      <c r="B41" s="3">
        <f>Parameters!J15</f>
        <v>0</v>
      </c>
      <c r="C41" s="2">
        <v>0.5</v>
      </c>
      <c r="D41" s="2">
        <f t="shared" si="0"/>
        <v>0</v>
      </c>
      <c r="I41" s="37"/>
    </row>
    <row r="42" spans="1:12" x14ac:dyDescent="0.2">
      <c r="A42" s="1" t="s">
        <v>63</v>
      </c>
      <c r="B42" s="3">
        <f>Parameters!J16</f>
        <v>0</v>
      </c>
      <c r="C42" s="2">
        <v>0.5</v>
      </c>
      <c r="D42" s="2">
        <f t="shared" si="0"/>
        <v>0</v>
      </c>
      <c r="L42" s="37"/>
    </row>
    <row r="43" spans="1:12" x14ac:dyDescent="0.2">
      <c r="A43" s="1" t="s">
        <v>64</v>
      </c>
      <c r="B43" s="3">
        <f>Parameters!J17</f>
        <v>0</v>
      </c>
      <c r="C43" s="2">
        <v>1</v>
      </c>
      <c r="D43" s="2">
        <f t="shared" si="0"/>
        <v>0</v>
      </c>
      <c r="L43" s="37"/>
    </row>
    <row r="44" spans="1:12" x14ac:dyDescent="0.2">
      <c r="A44" s="1" t="s">
        <v>51</v>
      </c>
      <c r="B44" s="3">
        <f>Parameters!J18</f>
        <v>0</v>
      </c>
      <c r="C44" s="2">
        <f>IF(H17&gt;2300,0.35,3.5)</f>
        <v>3.5</v>
      </c>
      <c r="D44" s="2">
        <f t="shared" si="0"/>
        <v>0</v>
      </c>
      <c r="F44" s="1" t="s">
        <v>89</v>
      </c>
      <c r="L44" s="37"/>
    </row>
    <row r="45" spans="1:12" x14ac:dyDescent="0.2">
      <c r="A45" s="1" t="s">
        <v>59</v>
      </c>
      <c r="B45" s="3">
        <f>Parameters!J19</f>
        <v>0</v>
      </c>
      <c r="C45" s="2">
        <v>1</v>
      </c>
      <c r="D45" s="2">
        <f t="shared" si="0"/>
        <v>0</v>
      </c>
      <c r="I45" s="37"/>
    </row>
    <row r="46" spans="1:12" x14ac:dyDescent="0.2">
      <c r="A46" s="1" t="s">
        <v>60</v>
      </c>
      <c r="B46" s="3">
        <f>Parameters!J20</f>
        <v>0</v>
      </c>
      <c r="C46" s="2">
        <v>0.1</v>
      </c>
      <c r="D46" s="2">
        <f t="shared" si="0"/>
        <v>0</v>
      </c>
      <c r="I46" s="37"/>
    </row>
    <row r="47" spans="1:12" x14ac:dyDescent="0.2">
      <c r="A47" s="1" t="s">
        <v>56</v>
      </c>
      <c r="B47" s="3">
        <f>Parameters!J21</f>
        <v>0</v>
      </c>
      <c r="C47" s="2">
        <v>1</v>
      </c>
      <c r="D47" s="2">
        <f t="shared" si="0"/>
        <v>0</v>
      </c>
      <c r="I47" s="37"/>
    </row>
    <row r="48" spans="1:12" x14ac:dyDescent="0.2">
      <c r="A48" s="1" t="s">
        <v>57</v>
      </c>
      <c r="B48" s="3">
        <f>Parameters!J22</f>
        <v>0</v>
      </c>
      <c r="C48" s="2">
        <v>6</v>
      </c>
      <c r="D48" s="2">
        <f t="shared" si="0"/>
        <v>0</v>
      </c>
      <c r="I48" s="37"/>
    </row>
    <row r="49" spans="1:9" x14ac:dyDescent="0.2">
      <c r="A49" s="1" t="s">
        <v>61</v>
      </c>
      <c r="B49" s="3">
        <f>Parameters!J23</f>
        <v>0</v>
      </c>
      <c r="C49" s="2">
        <v>0.2</v>
      </c>
      <c r="D49" s="2">
        <f t="shared" si="0"/>
        <v>0</v>
      </c>
      <c r="I49" s="37"/>
    </row>
    <row r="50" spans="1:9" x14ac:dyDescent="0.2">
      <c r="B50" s="38"/>
      <c r="C50" s="2"/>
      <c r="D50" s="2"/>
      <c r="I50" s="37"/>
    </row>
    <row r="51" spans="1:9" x14ac:dyDescent="0.2">
      <c r="A51" s="1" t="s">
        <v>46</v>
      </c>
      <c r="B51" s="2"/>
      <c r="C51" s="2"/>
      <c r="D51" s="2">
        <f>SUM(D37:D50)</f>
        <v>0</v>
      </c>
    </row>
  </sheetData>
  <phoneticPr fontId="4" type="noConversion"/>
  <conditionalFormatting sqref="D28">
    <cfRule type="cellIs" dxfId="47" priority="1" stopIfTrue="1" operator="lessThan">
      <formula>65</formula>
    </cfRule>
  </conditionalFormatting>
  <conditionalFormatting sqref="E7 E12 E10 K11 B37:B49">
    <cfRule type="cellIs" dxfId="46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9">
    <pageSetUpPr fitToPage="1"/>
  </sheetPr>
  <dimension ref="A2:Q51"/>
  <sheetViews>
    <sheetView workbookViewId="0">
      <selection activeCell="E7" sqref="E7"/>
    </sheetView>
  </sheetViews>
  <sheetFormatPr defaultRowHeight="12.75" x14ac:dyDescent="0.2"/>
  <cols>
    <col min="1" max="1" width="12.140625" style="1" customWidth="1"/>
    <col min="2" max="3" width="9.140625" style="1"/>
    <col min="4" max="4" width="12.42578125" style="1" bestFit="1" customWidth="1"/>
    <col min="5" max="5" width="12" style="1" bestFit="1" customWidth="1"/>
    <col min="6" max="6" width="10.7109375" style="1" customWidth="1"/>
    <col min="7" max="7" width="12.42578125" style="1" bestFit="1" customWidth="1"/>
    <col min="8" max="9" width="9.42578125" style="1" customWidth="1"/>
    <col min="10" max="10" width="14.140625" style="1" bestFit="1" customWidth="1"/>
    <col min="11" max="11" width="5" style="1" bestFit="1" customWidth="1"/>
    <col min="12" max="12" width="14.85546875" style="1" bestFit="1" customWidth="1"/>
    <col min="13" max="13" width="3.7109375" style="1" bestFit="1" customWidth="1"/>
    <col min="14" max="14" width="8.85546875" style="1" bestFit="1" customWidth="1"/>
    <col min="15" max="15" width="3.7109375" style="1" bestFit="1" customWidth="1"/>
    <col min="16" max="16" width="7.42578125" style="1" bestFit="1" customWidth="1"/>
    <col min="17" max="17" width="3.7109375" style="1" bestFit="1" customWidth="1"/>
    <col min="18" max="18" width="6.85546875" style="1" bestFit="1" customWidth="1"/>
    <col min="19" max="16384" width="9.140625" style="1"/>
  </cols>
  <sheetData>
    <row r="2" spans="1:17" ht="15.75" x14ac:dyDescent="0.25">
      <c r="A2" s="22" t="s">
        <v>0</v>
      </c>
    </row>
    <row r="6" spans="1:17" x14ac:dyDescent="0.2">
      <c r="A6" s="26" t="s">
        <v>85</v>
      </c>
    </row>
    <row r="7" spans="1:17" x14ac:dyDescent="0.2">
      <c r="A7" s="25" t="s">
        <v>4</v>
      </c>
      <c r="E7" s="3">
        <f>Parameters!K7</f>
        <v>0</v>
      </c>
      <c r="F7" s="27" t="s">
        <v>86</v>
      </c>
    </row>
    <row r="8" spans="1:17" x14ac:dyDescent="0.2">
      <c r="A8" s="25" t="s">
        <v>5</v>
      </c>
      <c r="E8" s="27">
        <f>total!F18</f>
        <v>1025</v>
      </c>
      <c r="F8" s="27" t="s">
        <v>11</v>
      </c>
      <c r="Q8" s="28"/>
    </row>
    <row r="9" spans="1:17" x14ac:dyDescent="0.2">
      <c r="A9" s="25" t="s">
        <v>9</v>
      </c>
      <c r="E9" s="27">
        <f>total!F17</f>
        <v>1</v>
      </c>
      <c r="F9" s="27" t="s">
        <v>73</v>
      </c>
    </row>
    <row r="10" spans="1:17" x14ac:dyDescent="0.2">
      <c r="A10" s="25" t="s">
        <v>6</v>
      </c>
      <c r="E10" s="3">
        <f>Parameters!K8</f>
        <v>0</v>
      </c>
      <c r="F10" s="27" t="s">
        <v>12</v>
      </c>
    </row>
    <row r="11" spans="1:17" x14ac:dyDescent="0.2">
      <c r="A11" s="25" t="s">
        <v>7</v>
      </c>
      <c r="E11" s="27">
        <f>VLOOKUP(H11,'pipe dimensions'!A1:D21,K11+1)</f>
        <v>100</v>
      </c>
      <c r="F11" s="27" t="s">
        <v>13</v>
      </c>
      <c r="G11" s="28" t="s">
        <v>68</v>
      </c>
      <c r="H11" s="28">
        <v>100</v>
      </c>
      <c r="J11" s="1" t="s">
        <v>72</v>
      </c>
      <c r="K11" s="3">
        <f>Parameters!K10</f>
        <v>0</v>
      </c>
      <c r="L11" s="1" t="s">
        <v>74</v>
      </c>
    </row>
    <row r="12" spans="1:17" x14ac:dyDescent="0.2">
      <c r="A12" s="25" t="s">
        <v>14</v>
      </c>
      <c r="E12" s="3">
        <f>Parameters!K9</f>
        <v>0</v>
      </c>
      <c r="F12" s="27"/>
      <c r="G12" s="28" t="s">
        <v>24</v>
      </c>
      <c r="H12" s="28">
        <v>0.15</v>
      </c>
      <c r="I12" s="1" t="s">
        <v>13</v>
      </c>
      <c r="J12" s="28" t="s">
        <v>25</v>
      </c>
      <c r="K12" s="28">
        <v>0.02</v>
      </c>
      <c r="L12" s="1" t="s">
        <v>13</v>
      </c>
    </row>
    <row r="13" spans="1:17" x14ac:dyDescent="0.2">
      <c r="A13" s="25" t="s">
        <v>8</v>
      </c>
      <c r="E13" s="27">
        <f>IF(E10&gt;0,D51,0)</f>
        <v>0</v>
      </c>
      <c r="F13" s="27"/>
    </row>
    <row r="15" spans="1:17" x14ac:dyDescent="0.2">
      <c r="A15" s="25" t="s">
        <v>1</v>
      </c>
      <c r="H15" s="27"/>
    </row>
    <row r="16" spans="1:17" x14ac:dyDescent="0.2">
      <c r="A16" s="29" t="s">
        <v>3</v>
      </c>
      <c r="D16" s="25" t="s">
        <v>75</v>
      </c>
      <c r="H16" s="30">
        <f>E7/3600/(0.785*(0.001*E11)*(0.001*E11))</f>
        <v>0</v>
      </c>
      <c r="I16" s="27" t="s">
        <v>2</v>
      </c>
    </row>
    <row r="17" spans="1:12" x14ac:dyDescent="0.2">
      <c r="A17" s="29" t="s">
        <v>10</v>
      </c>
      <c r="D17" s="25" t="s">
        <v>76</v>
      </c>
      <c r="H17" s="30">
        <f>H16*0.001*E11/E9*1000000</f>
        <v>0</v>
      </c>
      <c r="I17" s="31">
        <f>H17</f>
        <v>0</v>
      </c>
    </row>
    <row r="18" spans="1:12" x14ac:dyDescent="0.2">
      <c r="A18" s="29" t="s">
        <v>32</v>
      </c>
      <c r="D18" s="25"/>
      <c r="H18" s="32">
        <f>H12/E11</f>
        <v>1.5E-3</v>
      </c>
      <c r="I18" s="27"/>
    </row>
    <row r="19" spans="1:12" x14ac:dyDescent="0.2">
      <c r="A19" s="29" t="s">
        <v>26</v>
      </c>
      <c r="D19" s="25"/>
      <c r="H19" s="30">
        <f>H17*H12/E11</f>
        <v>0</v>
      </c>
      <c r="I19" s="27"/>
    </row>
    <row r="20" spans="1:12" x14ac:dyDescent="0.2">
      <c r="A20" s="29"/>
      <c r="D20" s="25"/>
      <c r="H20" s="30"/>
      <c r="I20" s="27"/>
    </row>
    <row r="21" spans="1:12" x14ac:dyDescent="0.2">
      <c r="A21" s="29" t="s">
        <v>78</v>
      </c>
      <c r="D21" s="1" t="s">
        <v>77</v>
      </c>
      <c r="H21" s="32">
        <f>IF((E7&gt;0),64/H17,0)</f>
        <v>0</v>
      </c>
      <c r="I21" s="27"/>
    </row>
    <row r="22" spans="1:12" x14ac:dyDescent="0.2">
      <c r="A22" s="29" t="s">
        <v>80</v>
      </c>
      <c r="D22" s="1" t="s">
        <v>79</v>
      </c>
      <c r="H22" s="32">
        <f>IF((E7&gt;0),(0.0055*(1+(20000*IF(E12&gt;1,K12/1000,H12/1000)/(0.001*E11)+1000000/H17)^0.333333)),0)</f>
        <v>0</v>
      </c>
      <c r="I22" s="27"/>
    </row>
    <row r="23" spans="1:12" x14ac:dyDescent="0.2">
      <c r="A23" s="1" t="s">
        <v>82</v>
      </c>
      <c r="D23" s="1" t="s">
        <v>81</v>
      </c>
      <c r="H23" s="33">
        <f>((IF(H17&gt;2320,H22,H21))*E10/(0.001*E11)+E13)*E8*H16*H16/(2*100000)</f>
        <v>0</v>
      </c>
      <c r="I23" s="27" t="s">
        <v>52</v>
      </c>
      <c r="J23" s="1" t="s">
        <v>19</v>
      </c>
    </row>
    <row r="24" spans="1:12" x14ac:dyDescent="0.2">
      <c r="H24" s="30">
        <f>+H23*100/(9.81)</f>
        <v>0</v>
      </c>
      <c r="I24" s="27" t="s">
        <v>15</v>
      </c>
      <c r="J24" s="1" t="s">
        <v>20</v>
      </c>
    </row>
    <row r="25" spans="1:12" x14ac:dyDescent="0.2">
      <c r="H25" s="27" t="s">
        <v>16</v>
      </c>
      <c r="I25" s="27"/>
    </row>
    <row r="26" spans="1:12" s="24" customFormat="1" hidden="1" x14ac:dyDescent="0.2"/>
    <row r="27" spans="1:12" hidden="1" x14ac:dyDescent="0.2"/>
    <row r="28" spans="1:12" hidden="1" x14ac:dyDescent="0.2">
      <c r="A28" s="1" t="s">
        <v>41</v>
      </c>
      <c r="D28" s="1" t="s">
        <v>18</v>
      </c>
      <c r="H28" s="1" t="s">
        <v>21</v>
      </c>
      <c r="L28" s="1" t="s">
        <v>23</v>
      </c>
    </row>
    <row r="29" spans="1:12" hidden="1" x14ac:dyDescent="0.2">
      <c r="D29" s="34" t="s">
        <v>22</v>
      </c>
      <c r="F29" s="1" t="s">
        <v>42</v>
      </c>
      <c r="H29" s="35" t="s">
        <v>35</v>
      </c>
      <c r="L29" s="36" t="s">
        <v>36</v>
      </c>
    </row>
    <row r="30" spans="1:12" hidden="1" x14ac:dyDescent="0.2">
      <c r="B30" s="1" t="s">
        <v>28</v>
      </c>
    </row>
    <row r="31" spans="1:12" hidden="1" x14ac:dyDescent="0.2">
      <c r="C31" s="1" t="s">
        <v>27</v>
      </c>
      <c r="D31" s="27" t="e">
        <f>0.3164*H17^-0.25</f>
        <v>#DIV/0!</v>
      </c>
      <c r="E31" s="1" t="s">
        <v>39</v>
      </c>
      <c r="F31" s="1" t="s">
        <v>43</v>
      </c>
      <c r="G31" s="1" t="s">
        <v>30</v>
      </c>
      <c r="H31" s="1">
        <f>(1/(2*LOG10((E11/H12))+1.14))^2</f>
        <v>2.1703995361900343E-2</v>
      </c>
      <c r="I31" s="1" t="s">
        <v>37</v>
      </c>
      <c r="K31" s="1" t="s">
        <v>34</v>
      </c>
      <c r="L31" s="1" t="e">
        <f>1/(-2*LOG10(H12/(3.72*E11)+2.51/H17*((H17*E11/H12)^0.0625)*(1/0.48)))^2</f>
        <v>#DIV/0!</v>
      </c>
    </row>
    <row r="32" spans="1:12" hidden="1" x14ac:dyDescent="0.2">
      <c r="C32" s="1" t="s">
        <v>29</v>
      </c>
      <c r="D32" s="1" t="e">
        <f>0.0032+0.221*H17^-0.237</f>
        <v>#DIV/0!</v>
      </c>
      <c r="E32" s="1" t="s">
        <v>37</v>
      </c>
      <c r="F32" s="1" t="s">
        <v>44</v>
      </c>
      <c r="G32" s="1" t="s">
        <v>31</v>
      </c>
      <c r="H32" s="1">
        <f>0.0055+0.15*(H12/E11)^(1/3)</f>
        <v>2.2670713638299977E-2</v>
      </c>
      <c r="I32" s="1" t="s">
        <v>38</v>
      </c>
    </row>
    <row r="33" spans="1:12" hidden="1" x14ac:dyDescent="0.2">
      <c r="C33" s="1" t="s">
        <v>33</v>
      </c>
      <c r="D33" s="1" t="e">
        <f>0.0054+0.3964/H17^0.3</f>
        <v>#DIV/0!</v>
      </c>
      <c r="E33" s="1" t="s">
        <v>40</v>
      </c>
      <c r="F33" s="1" t="s">
        <v>45</v>
      </c>
    </row>
    <row r="34" spans="1:12" hidden="1" x14ac:dyDescent="0.2"/>
    <row r="36" spans="1:12" x14ac:dyDescent="0.2">
      <c r="A36" s="25" t="s">
        <v>47</v>
      </c>
      <c r="B36" s="1" t="s">
        <v>49</v>
      </c>
      <c r="C36" s="1" t="s">
        <v>48</v>
      </c>
      <c r="D36" s="1" t="s">
        <v>50</v>
      </c>
      <c r="F36" s="1" t="s">
        <v>58</v>
      </c>
    </row>
    <row r="37" spans="1:12" x14ac:dyDescent="0.2">
      <c r="A37" s="29" t="s">
        <v>53</v>
      </c>
      <c r="B37" s="3">
        <f>Parameters!K11</f>
        <v>0</v>
      </c>
      <c r="C37" s="2">
        <v>5</v>
      </c>
      <c r="D37" s="2">
        <f t="shared" ref="D37:D49" si="0">B37*C37</f>
        <v>0</v>
      </c>
    </row>
    <row r="38" spans="1:12" x14ac:dyDescent="0.2">
      <c r="A38" s="29" t="s">
        <v>54</v>
      </c>
      <c r="B38" s="3">
        <f>Parameters!K12</f>
        <v>0</v>
      </c>
      <c r="C38" s="2">
        <v>0.5</v>
      </c>
      <c r="D38" s="2">
        <f t="shared" si="0"/>
        <v>0</v>
      </c>
      <c r="I38" s="37"/>
    </row>
    <row r="39" spans="1:12" x14ac:dyDescent="0.2">
      <c r="A39" s="29" t="s">
        <v>62</v>
      </c>
      <c r="B39" s="3">
        <f>Parameters!K13</f>
        <v>0</v>
      </c>
      <c r="C39" s="2">
        <v>4</v>
      </c>
      <c r="D39" s="2">
        <f t="shared" si="0"/>
        <v>0</v>
      </c>
      <c r="I39" s="37"/>
    </row>
    <row r="40" spans="1:12" x14ac:dyDescent="0.2">
      <c r="A40" s="1" t="s">
        <v>94</v>
      </c>
      <c r="B40" s="3">
        <f>Parameters!K14</f>
        <v>0</v>
      </c>
      <c r="C40" s="2">
        <v>5</v>
      </c>
      <c r="D40" s="2">
        <f t="shared" si="0"/>
        <v>0</v>
      </c>
      <c r="I40" s="37"/>
    </row>
    <row r="41" spans="1:12" x14ac:dyDescent="0.2">
      <c r="A41" s="40" t="s">
        <v>95</v>
      </c>
      <c r="B41" s="3">
        <f>Parameters!K15</f>
        <v>0</v>
      </c>
      <c r="C41" s="2">
        <v>0.5</v>
      </c>
      <c r="D41" s="2">
        <f t="shared" si="0"/>
        <v>0</v>
      </c>
      <c r="I41" s="37"/>
    </row>
    <row r="42" spans="1:12" x14ac:dyDescent="0.2">
      <c r="A42" s="1" t="s">
        <v>63</v>
      </c>
      <c r="B42" s="3">
        <f>Parameters!K16</f>
        <v>0</v>
      </c>
      <c r="C42" s="2">
        <v>0.5</v>
      </c>
      <c r="D42" s="2">
        <f t="shared" si="0"/>
        <v>0</v>
      </c>
      <c r="L42" s="37"/>
    </row>
    <row r="43" spans="1:12" x14ac:dyDescent="0.2">
      <c r="A43" s="1" t="s">
        <v>64</v>
      </c>
      <c r="B43" s="3">
        <f>Parameters!K17</f>
        <v>0</v>
      </c>
      <c r="C43" s="2">
        <v>1</v>
      </c>
      <c r="D43" s="2">
        <f t="shared" si="0"/>
        <v>0</v>
      </c>
      <c r="L43" s="37"/>
    </row>
    <row r="44" spans="1:12" x14ac:dyDescent="0.2">
      <c r="A44" s="1" t="s">
        <v>51</v>
      </c>
      <c r="B44" s="3">
        <f>Parameters!K18</f>
        <v>0</v>
      </c>
      <c r="C44" s="2">
        <f>IF(H17&gt;2300,0.35,3.5)</f>
        <v>3.5</v>
      </c>
      <c r="D44" s="2">
        <f t="shared" si="0"/>
        <v>0</v>
      </c>
      <c r="F44" s="1" t="s">
        <v>89</v>
      </c>
      <c r="L44" s="37"/>
    </row>
    <row r="45" spans="1:12" x14ac:dyDescent="0.2">
      <c r="A45" s="1" t="s">
        <v>59</v>
      </c>
      <c r="B45" s="3">
        <f>Parameters!K19</f>
        <v>0</v>
      </c>
      <c r="C45" s="2">
        <v>1</v>
      </c>
      <c r="D45" s="2">
        <f t="shared" si="0"/>
        <v>0</v>
      </c>
      <c r="I45" s="37"/>
    </row>
    <row r="46" spans="1:12" x14ac:dyDescent="0.2">
      <c r="A46" s="1" t="s">
        <v>60</v>
      </c>
      <c r="B46" s="3">
        <f>Parameters!K20</f>
        <v>0</v>
      </c>
      <c r="C46" s="2">
        <v>0.1</v>
      </c>
      <c r="D46" s="2">
        <f t="shared" si="0"/>
        <v>0</v>
      </c>
      <c r="I46" s="37"/>
    </row>
    <row r="47" spans="1:12" x14ac:dyDescent="0.2">
      <c r="A47" s="1" t="s">
        <v>56</v>
      </c>
      <c r="B47" s="3">
        <f>Parameters!K21</f>
        <v>0</v>
      </c>
      <c r="C47" s="2">
        <v>1</v>
      </c>
      <c r="D47" s="2">
        <f t="shared" si="0"/>
        <v>0</v>
      </c>
      <c r="I47" s="37"/>
    </row>
    <row r="48" spans="1:12" x14ac:dyDescent="0.2">
      <c r="A48" s="1" t="s">
        <v>57</v>
      </c>
      <c r="B48" s="3">
        <f>Parameters!K22</f>
        <v>0</v>
      </c>
      <c r="C48" s="2">
        <v>6</v>
      </c>
      <c r="D48" s="2">
        <f t="shared" si="0"/>
        <v>0</v>
      </c>
      <c r="I48" s="37"/>
    </row>
    <row r="49" spans="1:9" x14ac:dyDescent="0.2">
      <c r="A49" s="1" t="s">
        <v>61</v>
      </c>
      <c r="B49" s="3">
        <f>Parameters!K23</f>
        <v>0</v>
      </c>
      <c r="C49" s="2">
        <v>0.2</v>
      </c>
      <c r="D49" s="2">
        <f t="shared" si="0"/>
        <v>0</v>
      </c>
      <c r="I49" s="37"/>
    </row>
    <row r="50" spans="1:9" x14ac:dyDescent="0.2">
      <c r="B50" s="38"/>
      <c r="C50" s="2"/>
      <c r="D50" s="2"/>
      <c r="I50" s="37"/>
    </row>
    <row r="51" spans="1:9" x14ac:dyDescent="0.2">
      <c r="A51" s="1" t="s">
        <v>46</v>
      </c>
      <c r="B51" s="2"/>
      <c r="C51" s="2"/>
      <c r="D51" s="2">
        <f>SUM(D37:D50)</f>
        <v>0</v>
      </c>
    </row>
  </sheetData>
  <phoneticPr fontId="4" type="noConversion"/>
  <conditionalFormatting sqref="D28">
    <cfRule type="cellIs" dxfId="45" priority="1" stopIfTrue="1" operator="lessThan">
      <formula>65</formula>
    </cfRule>
  </conditionalFormatting>
  <conditionalFormatting sqref="E7 E12 E10 K11 B37:B49">
    <cfRule type="cellIs" dxfId="44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>
    <pageSetUpPr fitToPage="1"/>
  </sheetPr>
  <dimension ref="A2:Q51"/>
  <sheetViews>
    <sheetView workbookViewId="0">
      <selection activeCell="C45" sqref="C45"/>
    </sheetView>
  </sheetViews>
  <sheetFormatPr defaultRowHeight="12.75" x14ac:dyDescent="0.2"/>
  <cols>
    <col min="1" max="1" width="12.140625" style="1" customWidth="1"/>
    <col min="2" max="3" width="9.140625" style="1"/>
    <col min="4" max="4" width="12.42578125" style="1" bestFit="1" customWidth="1"/>
    <col min="5" max="5" width="12" style="1" bestFit="1" customWidth="1"/>
    <col min="6" max="6" width="10.7109375" style="1" customWidth="1"/>
    <col min="7" max="7" width="12.42578125" style="1" bestFit="1" customWidth="1"/>
    <col min="8" max="9" width="9.42578125" style="1" customWidth="1"/>
    <col min="10" max="10" width="14.140625" style="1" bestFit="1" customWidth="1"/>
    <col min="11" max="11" width="5" style="1" bestFit="1" customWidth="1"/>
    <col min="12" max="12" width="14.85546875" style="1" bestFit="1" customWidth="1"/>
    <col min="13" max="13" width="3.7109375" style="1" bestFit="1" customWidth="1"/>
    <col min="14" max="14" width="8.85546875" style="1" bestFit="1" customWidth="1"/>
    <col min="15" max="15" width="3.7109375" style="1" bestFit="1" customWidth="1"/>
    <col min="16" max="16" width="7.42578125" style="1" bestFit="1" customWidth="1"/>
    <col min="17" max="17" width="3.7109375" style="1" bestFit="1" customWidth="1"/>
    <col min="18" max="18" width="6.85546875" style="1" bestFit="1" customWidth="1"/>
    <col min="19" max="16384" width="9.140625" style="1"/>
  </cols>
  <sheetData>
    <row r="2" spans="1:17" ht="15.75" x14ac:dyDescent="0.25">
      <c r="A2" s="22" t="s">
        <v>0</v>
      </c>
    </row>
    <row r="6" spans="1:17" x14ac:dyDescent="0.2">
      <c r="A6" s="26" t="s">
        <v>85</v>
      </c>
    </row>
    <row r="7" spans="1:17" x14ac:dyDescent="0.2">
      <c r="A7" s="25" t="s">
        <v>4</v>
      </c>
      <c r="E7" s="3">
        <f>Parameters!L7</f>
        <v>0</v>
      </c>
      <c r="F7" s="27" t="s">
        <v>86</v>
      </c>
    </row>
    <row r="8" spans="1:17" x14ac:dyDescent="0.2">
      <c r="A8" s="25" t="s">
        <v>5</v>
      </c>
      <c r="E8" s="27">
        <f>total!F18</f>
        <v>1025</v>
      </c>
      <c r="F8" s="27" t="s">
        <v>11</v>
      </c>
      <c r="Q8" s="28"/>
    </row>
    <row r="9" spans="1:17" x14ac:dyDescent="0.2">
      <c r="A9" s="25" t="s">
        <v>9</v>
      </c>
      <c r="E9" s="27">
        <f>total!F17</f>
        <v>1</v>
      </c>
      <c r="F9" s="27" t="s">
        <v>73</v>
      </c>
    </row>
    <row r="10" spans="1:17" x14ac:dyDescent="0.2">
      <c r="A10" s="25" t="s">
        <v>6</v>
      </c>
      <c r="E10" s="3">
        <f>Parameters!L8</f>
        <v>0</v>
      </c>
      <c r="F10" s="27" t="s">
        <v>12</v>
      </c>
    </row>
    <row r="11" spans="1:17" x14ac:dyDescent="0.2">
      <c r="A11" s="25" t="s">
        <v>7</v>
      </c>
      <c r="E11" s="27">
        <f>VLOOKUP(H11,'pipe dimensions'!A1:D21,K11+1)</f>
        <v>80</v>
      </c>
      <c r="F11" s="27" t="s">
        <v>13</v>
      </c>
      <c r="G11" s="28" t="s">
        <v>68</v>
      </c>
      <c r="H11" s="28">
        <v>80</v>
      </c>
      <c r="J11" s="1" t="s">
        <v>72</v>
      </c>
      <c r="K11" s="3">
        <f>Parameters!L10</f>
        <v>0</v>
      </c>
      <c r="L11" s="1" t="s">
        <v>74</v>
      </c>
    </row>
    <row r="12" spans="1:17" x14ac:dyDescent="0.2">
      <c r="A12" s="25" t="s">
        <v>14</v>
      </c>
      <c r="E12" s="3">
        <f>Parameters!L9</f>
        <v>0</v>
      </c>
      <c r="F12" s="27"/>
      <c r="G12" s="28" t="s">
        <v>24</v>
      </c>
      <c r="H12" s="28">
        <v>0.15</v>
      </c>
      <c r="I12" s="1" t="s">
        <v>13</v>
      </c>
      <c r="J12" s="28" t="s">
        <v>25</v>
      </c>
      <c r="K12" s="28">
        <v>0.02</v>
      </c>
      <c r="L12" s="1" t="s">
        <v>13</v>
      </c>
    </row>
    <row r="13" spans="1:17" x14ac:dyDescent="0.2">
      <c r="A13" s="25" t="s">
        <v>8</v>
      </c>
      <c r="E13" s="27">
        <f>IF(E10&gt;0,D51,0)</f>
        <v>0</v>
      </c>
      <c r="F13" s="27"/>
    </row>
    <row r="15" spans="1:17" x14ac:dyDescent="0.2">
      <c r="A15" s="25" t="s">
        <v>1</v>
      </c>
      <c r="H15" s="27"/>
    </row>
    <row r="16" spans="1:17" x14ac:dyDescent="0.2">
      <c r="A16" s="29" t="s">
        <v>3</v>
      </c>
      <c r="D16" s="25" t="s">
        <v>75</v>
      </c>
      <c r="H16" s="30">
        <f>E7/3600/(0.785*(0.001*E11)*(0.001*E11))</f>
        <v>0</v>
      </c>
      <c r="I16" s="27" t="s">
        <v>2</v>
      </c>
    </row>
    <row r="17" spans="1:12" x14ac:dyDescent="0.2">
      <c r="A17" s="29" t="s">
        <v>10</v>
      </c>
      <c r="D17" s="25" t="s">
        <v>76</v>
      </c>
      <c r="H17" s="30">
        <f>H16*0.001*E11/E9*1000000</f>
        <v>0</v>
      </c>
      <c r="I17" s="31">
        <f>H17</f>
        <v>0</v>
      </c>
    </row>
    <row r="18" spans="1:12" x14ac:dyDescent="0.2">
      <c r="A18" s="29" t="s">
        <v>32</v>
      </c>
      <c r="D18" s="25"/>
      <c r="H18" s="32">
        <f>H12/E11</f>
        <v>1.8749999999999999E-3</v>
      </c>
      <c r="I18" s="27"/>
    </row>
    <row r="19" spans="1:12" x14ac:dyDescent="0.2">
      <c r="A19" s="29" t="s">
        <v>26</v>
      </c>
      <c r="D19" s="25"/>
      <c r="H19" s="30">
        <f>H17*H12/E11</f>
        <v>0</v>
      </c>
      <c r="I19" s="27"/>
    </row>
    <row r="20" spans="1:12" x14ac:dyDescent="0.2">
      <c r="A20" s="29"/>
      <c r="D20" s="25"/>
      <c r="H20" s="30"/>
      <c r="I20" s="27"/>
    </row>
    <row r="21" spans="1:12" x14ac:dyDescent="0.2">
      <c r="A21" s="29" t="s">
        <v>78</v>
      </c>
      <c r="D21" s="1" t="s">
        <v>77</v>
      </c>
      <c r="H21" s="32">
        <f>IF((E7&gt;0),64/H17,0)</f>
        <v>0</v>
      </c>
      <c r="I21" s="27"/>
    </row>
    <row r="22" spans="1:12" x14ac:dyDescent="0.2">
      <c r="A22" s="29" t="s">
        <v>80</v>
      </c>
      <c r="D22" s="1" t="s">
        <v>79</v>
      </c>
      <c r="H22" s="32">
        <f>IF((E7&gt;0),(0.0055*(1+(20000*IF(E12&gt;1,K12/1000,H12/1000)/(0.001*E11)+1000000/H17)^0.333333)),0)</f>
        <v>0</v>
      </c>
      <c r="I22" s="27"/>
    </row>
    <row r="23" spans="1:12" x14ac:dyDescent="0.2">
      <c r="A23" s="1" t="s">
        <v>82</v>
      </c>
      <c r="D23" s="1" t="s">
        <v>81</v>
      </c>
      <c r="H23" s="33">
        <f>((IF(H17&gt;2320,H22,H21))*E10/(0.001*E11)+E13)*E8*H16*H16/(2*100000)</f>
        <v>0</v>
      </c>
      <c r="I23" s="27" t="s">
        <v>52</v>
      </c>
      <c r="J23" s="1" t="s">
        <v>19</v>
      </c>
    </row>
    <row r="24" spans="1:12" x14ac:dyDescent="0.2">
      <c r="H24" s="30">
        <f>+H23*100/(9.81)</f>
        <v>0</v>
      </c>
      <c r="I24" s="27" t="s">
        <v>15</v>
      </c>
      <c r="J24" s="1" t="s">
        <v>20</v>
      </c>
    </row>
    <row r="25" spans="1:12" x14ac:dyDescent="0.2">
      <c r="H25" s="27" t="s">
        <v>16</v>
      </c>
      <c r="I25" s="27"/>
    </row>
    <row r="26" spans="1:12" s="24" customFormat="1" hidden="1" x14ac:dyDescent="0.2"/>
    <row r="27" spans="1:12" hidden="1" x14ac:dyDescent="0.2"/>
    <row r="28" spans="1:12" hidden="1" x14ac:dyDescent="0.2">
      <c r="A28" s="1" t="s">
        <v>41</v>
      </c>
      <c r="D28" s="1" t="s">
        <v>18</v>
      </c>
      <c r="H28" s="1" t="s">
        <v>21</v>
      </c>
      <c r="L28" s="1" t="s">
        <v>23</v>
      </c>
    </row>
    <row r="29" spans="1:12" hidden="1" x14ac:dyDescent="0.2">
      <c r="D29" s="34" t="s">
        <v>22</v>
      </c>
      <c r="F29" s="1" t="s">
        <v>42</v>
      </c>
      <c r="H29" s="35" t="s">
        <v>35</v>
      </c>
      <c r="L29" s="36" t="s">
        <v>36</v>
      </c>
    </row>
    <row r="30" spans="1:12" hidden="1" x14ac:dyDescent="0.2">
      <c r="B30" s="1" t="s">
        <v>28</v>
      </c>
    </row>
    <row r="31" spans="1:12" hidden="1" x14ac:dyDescent="0.2">
      <c r="C31" s="1" t="s">
        <v>27</v>
      </c>
      <c r="D31" s="27" t="e">
        <f>0.3164*H17^-0.25</f>
        <v>#DIV/0!</v>
      </c>
      <c r="E31" s="1" t="s">
        <v>39</v>
      </c>
      <c r="F31" s="1" t="s">
        <v>43</v>
      </c>
      <c r="G31" s="1" t="s">
        <v>30</v>
      </c>
      <c r="H31" s="1">
        <f>(1/(2*LOG10((E11/H12))+1.14))^2</f>
        <v>2.2998655583569408E-2</v>
      </c>
      <c r="I31" s="1" t="s">
        <v>37</v>
      </c>
      <c r="K31" s="1" t="s">
        <v>34</v>
      </c>
      <c r="L31" s="1" t="e">
        <f>1/(-2*LOG10(H12/(3.72*E11)+2.51/H17*((H17*E11/H12)^0.0625)*(1/0.48)))^2</f>
        <v>#DIV/0!</v>
      </c>
    </row>
    <row r="32" spans="1:12" hidden="1" x14ac:dyDescent="0.2">
      <c r="C32" s="1" t="s">
        <v>29</v>
      </c>
      <c r="D32" s="1" t="e">
        <f>0.0032+0.221*H17^-0.237</f>
        <v>#DIV/0!</v>
      </c>
      <c r="E32" s="1" t="s">
        <v>37</v>
      </c>
      <c r="F32" s="1" t="s">
        <v>44</v>
      </c>
      <c r="G32" s="1" t="s">
        <v>31</v>
      </c>
      <c r="H32" s="1">
        <f>0.0055+0.15*(H12/E11)^(1/3)</f>
        <v>2.3996590557478527E-2</v>
      </c>
      <c r="I32" s="1" t="s">
        <v>38</v>
      </c>
    </row>
    <row r="33" spans="1:12" hidden="1" x14ac:dyDescent="0.2">
      <c r="C33" s="1" t="s">
        <v>33</v>
      </c>
      <c r="D33" s="1" t="e">
        <f>0.0054+0.3964/H17^0.3</f>
        <v>#DIV/0!</v>
      </c>
      <c r="E33" s="1" t="s">
        <v>40</v>
      </c>
      <c r="F33" s="1" t="s">
        <v>45</v>
      </c>
    </row>
    <row r="34" spans="1:12" hidden="1" x14ac:dyDescent="0.2"/>
    <row r="36" spans="1:12" x14ac:dyDescent="0.2">
      <c r="A36" s="25" t="s">
        <v>47</v>
      </c>
      <c r="B36" s="1" t="s">
        <v>49</v>
      </c>
      <c r="C36" s="1" t="s">
        <v>48</v>
      </c>
      <c r="D36" s="1" t="s">
        <v>50</v>
      </c>
      <c r="F36" s="1" t="s">
        <v>58</v>
      </c>
    </row>
    <row r="37" spans="1:12" x14ac:dyDescent="0.2">
      <c r="A37" s="29" t="s">
        <v>53</v>
      </c>
      <c r="B37" s="3">
        <f>Parameters!L11</f>
        <v>0</v>
      </c>
      <c r="C37" s="2">
        <v>5</v>
      </c>
      <c r="D37" s="2">
        <f t="shared" ref="D37:D49" si="0">B37*C37</f>
        <v>0</v>
      </c>
    </row>
    <row r="38" spans="1:12" x14ac:dyDescent="0.2">
      <c r="A38" s="29" t="s">
        <v>54</v>
      </c>
      <c r="B38" s="3">
        <f>Parameters!L12</f>
        <v>0</v>
      </c>
      <c r="C38" s="2">
        <v>0.5</v>
      </c>
      <c r="D38" s="2">
        <f t="shared" si="0"/>
        <v>0</v>
      </c>
      <c r="I38" s="37"/>
    </row>
    <row r="39" spans="1:12" x14ac:dyDescent="0.2">
      <c r="A39" s="29" t="s">
        <v>62</v>
      </c>
      <c r="B39" s="3">
        <f>Parameters!L13</f>
        <v>0</v>
      </c>
      <c r="C39" s="2">
        <v>4</v>
      </c>
      <c r="D39" s="2">
        <f t="shared" si="0"/>
        <v>0</v>
      </c>
      <c r="I39" s="37"/>
    </row>
    <row r="40" spans="1:12" x14ac:dyDescent="0.2">
      <c r="A40" s="1" t="s">
        <v>94</v>
      </c>
      <c r="B40" s="3">
        <f>Parameters!L14</f>
        <v>0</v>
      </c>
      <c r="C40" s="2">
        <v>5</v>
      </c>
      <c r="D40" s="2">
        <f t="shared" si="0"/>
        <v>0</v>
      </c>
      <c r="I40" s="37"/>
    </row>
    <row r="41" spans="1:12" x14ac:dyDescent="0.2">
      <c r="A41" s="40" t="s">
        <v>95</v>
      </c>
      <c r="B41" s="3">
        <f>Parameters!L15</f>
        <v>0</v>
      </c>
      <c r="C41" s="2">
        <v>0.5</v>
      </c>
      <c r="D41" s="2">
        <f t="shared" si="0"/>
        <v>0</v>
      </c>
      <c r="I41" s="37"/>
    </row>
    <row r="42" spans="1:12" x14ac:dyDescent="0.2">
      <c r="A42" s="1" t="s">
        <v>63</v>
      </c>
      <c r="B42" s="3">
        <f>Parameters!L16</f>
        <v>0</v>
      </c>
      <c r="C42" s="2">
        <v>0.5</v>
      </c>
      <c r="D42" s="2">
        <f t="shared" si="0"/>
        <v>0</v>
      </c>
      <c r="L42" s="37"/>
    </row>
    <row r="43" spans="1:12" x14ac:dyDescent="0.2">
      <c r="A43" s="1" t="s">
        <v>64</v>
      </c>
      <c r="B43" s="3">
        <f>Parameters!L17</f>
        <v>0</v>
      </c>
      <c r="C43" s="2">
        <v>1</v>
      </c>
      <c r="D43" s="2">
        <f t="shared" si="0"/>
        <v>0</v>
      </c>
      <c r="L43" s="37"/>
    </row>
    <row r="44" spans="1:12" x14ac:dyDescent="0.2">
      <c r="A44" s="1" t="s">
        <v>51</v>
      </c>
      <c r="B44" s="3">
        <f>Parameters!L18</f>
        <v>0</v>
      </c>
      <c r="C44" s="2">
        <f>IF(H17&gt;2300,0.35,3.5)</f>
        <v>3.5</v>
      </c>
      <c r="D44" s="2">
        <f t="shared" si="0"/>
        <v>0</v>
      </c>
      <c r="F44" s="1" t="s">
        <v>89</v>
      </c>
      <c r="L44" s="37"/>
    </row>
    <row r="45" spans="1:12" x14ac:dyDescent="0.2">
      <c r="A45" s="1" t="s">
        <v>59</v>
      </c>
      <c r="B45" s="3">
        <f>Parameters!L19</f>
        <v>0</v>
      </c>
      <c r="C45" s="2">
        <v>1</v>
      </c>
      <c r="D45" s="2">
        <f t="shared" si="0"/>
        <v>0</v>
      </c>
      <c r="I45" s="37"/>
    </row>
    <row r="46" spans="1:12" x14ac:dyDescent="0.2">
      <c r="A46" s="1" t="s">
        <v>60</v>
      </c>
      <c r="B46" s="3">
        <f>Parameters!L20</f>
        <v>0</v>
      </c>
      <c r="C46" s="2">
        <v>0.1</v>
      </c>
      <c r="D46" s="2">
        <f t="shared" si="0"/>
        <v>0</v>
      </c>
      <c r="I46" s="37"/>
    </row>
    <row r="47" spans="1:12" x14ac:dyDescent="0.2">
      <c r="A47" s="1" t="s">
        <v>56</v>
      </c>
      <c r="B47" s="3">
        <f>Parameters!L21</f>
        <v>0</v>
      </c>
      <c r="C47" s="2">
        <v>1</v>
      </c>
      <c r="D47" s="2">
        <f t="shared" si="0"/>
        <v>0</v>
      </c>
      <c r="I47" s="37"/>
    </row>
    <row r="48" spans="1:12" x14ac:dyDescent="0.2">
      <c r="A48" s="1" t="s">
        <v>57</v>
      </c>
      <c r="B48" s="3">
        <f>Parameters!L22</f>
        <v>0</v>
      </c>
      <c r="C48" s="2">
        <v>6</v>
      </c>
      <c r="D48" s="2">
        <f t="shared" si="0"/>
        <v>0</v>
      </c>
      <c r="I48" s="37"/>
    </row>
    <row r="49" spans="1:9" x14ac:dyDescent="0.2">
      <c r="A49" s="1" t="s">
        <v>61</v>
      </c>
      <c r="B49" s="3">
        <f>Parameters!L23</f>
        <v>0</v>
      </c>
      <c r="C49" s="2">
        <v>0.2</v>
      </c>
      <c r="D49" s="2">
        <f t="shared" si="0"/>
        <v>0</v>
      </c>
      <c r="I49" s="37"/>
    </row>
    <row r="50" spans="1:9" x14ac:dyDescent="0.2">
      <c r="B50" s="38"/>
      <c r="C50" s="2"/>
      <c r="D50" s="2"/>
      <c r="I50" s="37"/>
    </row>
    <row r="51" spans="1:9" x14ac:dyDescent="0.2">
      <c r="A51" s="1" t="s">
        <v>46</v>
      </c>
      <c r="B51" s="2"/>
      <c r="C51" s="2"/>
      <c r="D51" s="2">
        <f>SUM(D37:D50)</f>
        <v>0</v>
      </c>
    </row>
  </sheetData>
  <phoneticPr fontId="4" type="noConversion"/>
  <conditionalFormatting sqref="D28">
    <cfRule type="cellIs" dxfId="43" priority="1" stopIfTrue="1" operator="lessThan">
      <formula>65</formula>
    </cfRule>
  </conditionalFormatting>
  <conditionalFormatting sqref="E7 E12 E10 K11 B37:B49">
    <cfRule type="cellIs" dxfId="42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1">
    <pageSetUpPr fitToPage="1"/>
  </sheetPr>
  <dimension ref="A2:Q51"/>
  <sheetViews>
    <sheetView workbookViewId="0">
      <selection activeCell="C45" sqref="C45"/>
    </sheetView>
  </sheetViews>
  <sheetFormatPr defaultRowHeight="12.75" x14ac:dyDescent="0.2"/>
  <cols>
    <col min="1" max="1" width="12.140625" style="1" customWidth="1"/>
    <col min="2" max="3" width="9.140625" style="1"/>
    <col min="4" max="4" width="12.42578125" style="1" bestFit="1" customWidth="1"/>
    <col min="5" max="5" width="12" style="1" bestFit="1" customWidth="1"/>
    <col min="6" max="6" width="10.7109375" style="1" customWidth="1"/>
    <col min="7" max="7" width="12.42578125" style="1" bestFit="1" customWidth="1"/>
    <col min="8" max="9" width="9.42578125" style="1" customWidth="1"/>
    <col min="10" max="10" width="14.140625" style="1" bestFit="1" customWidth="1"/>
    <col min="11" max="11" width="5" style="1" bestFit="1" customWidth="1"/>
    <col min="12" max="12" width="14.85546875" style="1" bestFit="1" customWidth="1"/>
    <col min="13" max="13" width="3.7109375" style="1" bestFit="1" customWidth="1"/>
    <col min="14" max="14" width="8.85546875" style="1" bestFit="1" customWidth="1"/>
    <col min="15" max="15" width="3.7109375" style="1" bestFit="1" customWidth="1"/>
    <col min="16" max="16" width="7.42578125" style="1" bestFit="1" customWidth="1"/>
    <col min="17" max="17" width="3.7109375" style="1" bestFit="1" customWidth="1"/>
    <col min="18" max="18" width="6.85546875" style="1" bestFit="1" customWidth="1"/>
    <col min="19" max="16384" width="9.140625" style="1"/>
  </cols>
  <sheetData>
    <row r="2" spans="1:17" ht="15.75" x14ac:dyDescent="0.25">
      <c r="A2" s="22" t="s">
        <v>0</v>
      </c>
    </row>
    <row r="6" spans="1:17" x14ac:dyDescent="0.2">
      <c r="A6" s="26" t="s">
        <v>85</v>
      </c>
    </row>
    <row r="7" spans="1:17" x14ac:dyDescent="0.2">
      <c r="A7" s="25" t="s">
        <v>4</v>
      </c>
      <c r="E7" s="3">
        <f>Parameters!M7</f>
        <v>0</v>
      </c>
      <c r="F7" s="27" t="s">
        <v>86</v>
      </c>
    </row>
    <row r="8" spans="1:17" x14ac:dyDescent="0.2">
      <c r="A8" s="25" t="s">
        <v>5</v>
      </c>
      <c r="E8" s="27">
        <f>total!F18</f>
        <v>1025</v>
      </c>
      <c r="F8" s="27" t="s">
        <v>11</v>
      </c>
      <c r="Q8" s="28"/>
    </row>
    <row r="9" spans="1:17" x14ac:dyDescent="0.2">
      <c r="A9" s="25" t="s">
        <v>9</v>
      </c>
      <c r="E9" s="27">
        <f>total!F17</f>
        <v>1</v>
      </c>
      <c r="F9" s="27" t="s">
        <v>73</v>
      </c>
    </row>
    <row r="10" spans="1:17" x14ac:dyDescent="0.2">
      <c r="A10" s="25" t="s">
        <v>6</v>
      </c>
      <c r="E10" s="3">
        <f>Parameters!M8</f>
        <v>0</v>
      </c>
      <c r="F10" s="27" t="s">
        <v>12</v>
      </c>
    </row>
    <row r="11" spans="1:17" x14ac:dyDescent="0.2">
      <c r="A11" s="25" t="s">
        <v>7</v>
      </c>
      <c r="E11" s="27">
        <f>VLOOKUP(H11,'pipe dimensions'!A1:D21,K11+1)</f>
        <v>65</v>
      </c>
      <c r="F11" s="27" t="s">
        <v>13</v>
      </c>
      <c r="G11" s="28" t="s">
        <v>68</v>
      </c>
      <c r="H11" s="28">
        <v>65</v>
      </c>
      <c r="J11" s="1" t="s">
        <v>72</v>
      </c>
      <c r="K11" s="3">
        <f>Parameters!M10</f>
        <v>0</v>
      </c>
      <c r="L11" s="1" t="s">
        <v>74</v>
      </c>
    </row>
    <row r="12" spans="1:17" x14ac:dyDescent="0.2">
      <c r="A12" s="25" t="s">
        <v>14</v>
      </c>
      <c r="E12" s="3">
        <f>Parameters!M9</f>
        <v>0</v>
      </c>
      <c r="F12" s="27"/>
      <c r="G12" s="28" t="s">
        <v>24</v>
      </c>
      <c r="H12" s="28">
        <v>0.15</v>
      </c>
      <c r="I12" s="1" t="s">
        <v>13</v>
      </c>
      <c r="J12" s="28" t="s">
        <v>25</v>
      </c>
      <c r="K12" s="28">
        <v>0.02</v>
      </c>
      <c r="L12" s="1" t="s">
        <v>13</v>
      </c>
    </row>
    <row r="13" spans="1:17" x14ac:dyDescent="0.2">
      <c r="A13" s="25" t="s">
        <v>8</v>
      </c>
      <c r="E13" s="27">
        <f>IF(E10&gt;0,D51,0)</f>
        <v>0</v>
      </c>
      <c r="F13" s="27"/>
    </row>
    <row r="15" spans="1:17" x14ac:dyDescent="0.2">
      <c r="A15" s="25" t="s">
        <v>1</v>
      </c>
      <c r="H15" s="27"/>
    </row>
    <row r="16" spans="1:17" x14ac:dyDescent="0.2">
      <c r="A16" s="29" t="s">
        <v>3</v>
      </c>
      <c r="D16" s="25" t="s">
        <v>75</v>
      </c>
      <c r="H16" s="30">
        <f>E7/3600/(0.785*(0.001*E11)*(0.001*E11))</f>
        <v>0</v>
      </c>
      <c r="I16" s="27" t="s">
        <v>2</v>
      </c>
    </row>
    <row r="17" spans="1:12" x14ac:dyDescent="0.2">
      <c r="A17" s="29" t="s">
        <v>10</v>
      </c>
      <c r="D17" s="25" t="s">
        <v>76</v>
      </c>
      <c r="H17" s="30">
        <f>H16*0.001*E11/E9*1000000</f>
        <v>0</v>
      </c>
      <c r="I17" s="31">
        <f>H17</f>
        <v>0</v>
      </c>
    </row>
    <row r="18" spans="1:12" x14ac:dyDescent="0.2">
      <c r="A18" s="29" t="s">
        <v>32</v>
      </c>
      <c r="D18" s="25"/>
      <c r="H18" s="32">
        <f>H12/E11</f>
        <v>2.3076923076923075E-3</v>
      </c>
      <c r="I18" s="27"/>
    </row>
    <row r="19" spans="1:12" x14ac:dyDescent="0.2">
      <c r="A19" s="29" t="s">
        <v>26</v>
      </c>
      <c r="D19" s="25"/>
      <c r="H19" s="30">
        <f>H17*H12/E11</f>
        <v>0</v>
      </c>
      <c r="I19" s="27"/>
    </row>
    <row r="20" spans="1:12" x14ac:dyDescent="0.2">
      <c r="A20" s="29"/>
      <c r="D20" s="25"/>
      <c r="H20" s="30"/>
      <c r="I20" s="27"/>
    </row>
    <row r="21" spans="1:12" x14ac:dyDescent="0.2">
      <c r="A21" s="29" t="s">
        <v>78</v>
      </c>
      <c r="D21" s="1" t="s">
        <v>77</v>
      </c>
      <c r="H21" s="32">
        <f>IF((E7&gt;0),64/H17,0)</f>
        <v>0</v>
      </c>
      <c r="I21" s="27"/>
    </row>
    <row r="22" spans="1:12" x14ac:dyDescent="0.2">
      <c r="A22" s="29" t="s">
        <v>80</v>
      </c>
      <c r="D22" s="1" t="s">
        <v>79</v>
      </c>
      <c r="H22" s="32">
        <f>IF((E7&gt;0),(0.0055*(1+(20000*IF(E12&gt;1,K12/1000,H12/1000)/(0.001*E11)+1000000/H17)^0.333333)),0)</f>
        <v>0</v>
      </c>
      <c r="I22" s="27"/>
    </row>
    <row r="23" spans="1:12" x14ac:dyDescent="0.2">
      <c r="A23" s="1" t="s">
        <v>82</v>
      </c>
      <c r="D23" s="1" t="s">
        <v>81</v>
      </c>
      <c r="H23" s="33">
        <f>((IF(H17&gt;2320,H22,H21))*E10/(0.001*E11)+E13)*E8*H16*H16/(2*100000)</f>
        <v>0</v>
      </c>
      <c r="I23" s="27" t="s">
        <v>52</v>
      </c>
      <c r="J23" s="1" t="s">
        <v>19</v>
      </c>
    </row>
    <row r="24" spans="1:12" x14ac:dyDescent="0.2">
      <c r="H24" s="30">
        <f>+H23*100/(9.81)</f>
        <v>0</v>
      </c>
      <c r="I24" s="27" t="s">
        <v>15</v>
      </c>
      <c r="J24" s="1" t="s">
        <v>20</v>
      </c>
    </row>
    <row r="25" spans="1:12" x14ac:dyDescent="0.2">
      <c r="H25" s="27" t="s">
        <v>16</v>
      </c>
      <c r="I25" s="27"/>
    </row>
    <row r="26" spans="1:12" s="24" customFormat="1" hidden="1" x14ac:dyDescent="0.2"/>
    <row r="27" spans="1:12" hidden="1" x14ac:dyDescent="0.2"/>
    <row r="28" spans="1:12" hidden="1" x14ac:dyDescent="0.2">
      <c r="A28" s="1" t="s">
        <v>41</v>
      </c>
      <c r="D28" s="1" t="s">
        <v>18</v>
      </c>
      <c r="H28" s="1" t="s">
        <v>21</v>
      </c>
      <c r="L28" s="1" t="s">
        <v>23</v>
      </c>
    </row>
    <row r="29" spans="1:12" hidden="1" x14ac:dyDescent="0.2">
      <c r="D29" s="34" t="s">
        <v>22</v>
      </c>
      <c r="F29" s="1" t="s">
        <v>42</v>
      </c>
      <c r="H29" s="35" t="s">
        <v>35</v>
      </c>
      <c r="L29" s="36" t="s">
        <v>36</v>
      </c>
    </row>
    <row r="30" spans="1:12" hidden="1" x14ac:dyDescent="0.2">
      <c r="B30" s="1" t="s">
        <v>28</v>
      </c>
    </row>
    <row r="31" spans="1:12" hidden="1" x14ac:dyDescent="0.2">
      <c r="C31" s="1" t="s">
        <v>27</v>
      </c>
      <c r="D31" s="27" t="e">
        <f>0.3164*H17^-0.25</f>
        <v>#DIV/0!</v>
      </c>
      <c r="E31" s="1" t="s">
        <v>39</v>
      </c>
      <c r="F31" s="1" t="s">
        <v>43</v>
      </c>
      <c r="G31" s="1" t="s">
        <v>30</v>
      </c>
      <c r="H31" s="1">
        <f>(1/(2*LOG10((E11/H12))+1.14))^2</f>
        <v>2.4310297495506557E-2</v>
      </c>
      <c r="I31" s="1" t="s">
        <v>37</v>
      </c>
      <c r="K31" s="1" t="s">
        <v>34</v>
      </c>
      <c r="L31" s="1" t="e">
        <f>1/(-2*LOG10(H12/(3.72*E11)+2.51/H17*((H17*E11/H12)^0.0625)*(1/0.48)))^2</f>
        <v>#DIV/0!</v>
      </c>
    </row>
    <row r="32" spans="1:12" hidden="1" x14ac:dyDescent="0.2">
      <c r="C32" s="1" t="s">
        <v>29</v>
      </c>
      <c r="D32" s="1" t="e">
        <f>0.0032+0.221*H17^-0.237</f>
        <v>#DIV/0!</v>
      </c>
      <c r="E32" s="1" t="s">
        <v>37</v>
      </c>
      <c r="F32" s="1" t="s">
        <v>44</v>
      </c>
      <c r="G32" s="1" t="s">
        <v>31</v>
      </c>
      <c r="H32" s="1">
        <f>0.0055+0.15*(H12/E11)^(1/3)</f>
        <v>2.5322140945186901E-2</v>
      </c>
      <c r="I32" s="1" t="s">
        <v>38</v>
      </c>
    </row>
    <row r="33" spans="1:12" hidden="1" x14ac:dyDescent="0.2">
      <c r="C33" s="1" t="s">
        <v>33</v>
      </c>
      <c r="D33" s="1" t="e">
        <f>0.0054+0.3964/H17^0.3</f>
        <v>#DIV/0!</v>
      </c>
      <c r="E33" s="1" t="s">
        <v>40</v>
      </c>
      <c r="F33" s="1" t="s">
        <v>45</v>
      </c>
    </row>
    <row r="34" spans="1:12" hidden="1" x14ac:dyDescent="0.2"/>
    <row r="36" spans="1:12" x14ac:dyDescent="0.2">
      <c r="A36" s="25" t="s">
        <v>47</v>
      </c>
      <c r="B36" s="1" t="s">
        <v>49</v>
      </c>
      <c r="C36" s="1" t="s">
        <v>48</v>
      </c>
      <c r="D36" s="1" t="s">
        <v>50</v>
      </c>
      <c r="F36" s="1" t="s">
        <v>58</v>
      </c>
    </row>
    <row r="37" spans="1:12" x14ac:dyDescent="0.2">
      <c r="A37" s="29" t="s">
        <v>53</v>
      </c>
      <c r="B37" s="3">
        <f>Parameters!M11</f>
        <v>0</v>
      </c>
      <c r="C37" s="2">
        <v>5</v>
      </c>
      <c r="D37" s="2">
        <f t="shared" ref="D37:D49" si="0">B37*C37</f>
        <v>0</v>
      </c>
    </row>
    <row r="38" spans="1:12" x14ac:dyDescent="0.2">
      <c r="A38" s="29" t="s">
        <v>54</v>
      </c>
      <c r="B38" s="3">
        <f>Parameters!M12</f>
        <v>0</v>
      </c>
      <c r="C38" s="2">
        <v>0.5</v>
      </c>
      <c r="D38" s="2">
        <f t="shared" si="0"/>
        <v>0</v>
      </c>
      <c r="I38" s="37"/>
    </row>
    <row r="39" spans="1:12" x14ac:dyDescent="0.2">
      <c r="A39" s="29" t="s">
        <v>62</v>
      </c>
      <c r="B39" s="3">
        <f>Parameters!M13</f>
        <v>0</v>
      </c>
      <c r="C39" s="2">
        <v>4</v>
      </c>
      <c r="D39" s="2">
        <f t="shared" si="0"/>
        <v>0</v>
      </c>
      <c r="I39" s="37"/>
    </row>
    <row r="40" spans="1:12" x14ac:dyDescent="0.2">
      <c r="A40" s="1" t="s">
        <v>94</v>
      </c>
      <c r="B40" s="3">
        <f>Parameters!M14</f>
        <v>0</v>
      </c>
      <c r="C40" s="2">
        <v>5</v>
      </c>
      <c r="D40" s="2">
        <f t="shared" si="0"/>
        <v>0</v>
      </c>
      <c r="I40" s="37"/>
    </row>
    <row r="41" spans="1:12" x14ac:dyDescent="0.2">
      <c r="A41" s="40" t="s">
        <v>95</v>
      </c>
      <c r="B41" s="3">
        <f>Parameters!M15</f>
        <v>0</v>
      </c>
      <c r="C41" s="2">
        <v>0.5</v>
      </c>
      <c r="D41" s="2">
        <f t="shared" si="0"/>
        <v>0</v>
      </c>
      <c r="I41" s="37"/>
    </row>
    <row r="42" spans="1:12" x14ac:dyDescent="0.2">
      <c r="A42" s="1" t="s">
        <v>63</v>
      </c>
      <c r="B42" s="3">
        <f>Parameters!M16</f>
        <v>0</v>
      </c>
      <c r="C42" s="2">
        <v>0.5</v>
      </c>
      <c r="D42" s="2">
        <f t="shared" si="0"/>
        <v>0</v>
      </c>
      <c r="L42" s="37"/>
    </row>
    <row r="43" spans="1:12" x14ac:dyDescent="0.2">
      <c r="A43" s="1" t="s">
        <v>64</v>
      </c>
      <c r="B43" s="3">
        <f>Parameters!M17</f>
        <v>0</v>
      </c>
      <c r="C43" s="2">
        <v>1</v>
      </c>
      <c r="D43" s="2">
        <f t="shared" si="0"/>
        <v>0</v>
      </c>
      <c r="L43" s="37"/>
    </row>
    <row r="44" spans="1:12" x14ac:dyDescent="0.2">
      <c r="A44" s="1" t="s">
        <v>51</v>
      </c>
      <c r="B44" s="3">
        <f>Parameters!M18</f>
        <v>0</v>
      </c>
      <c r="C44" s="2">
        <f>IF(H17&gt;2300,0.35,3.5)</f>
        <v>3.5</v>
      </c>
      <c r="D44" s="2">
        <f t="shared" si="0"/>
        <v>0</v>
      </c>
      <c r="F44" s="1" t="s">
        <v>89</v>
      </c>
      <c r="L44" s="37"/>
    </row>
    <row r="45" spans="1:12" x14ac:dyDescent="0.2">
      <c r="A45" s="1" t="s">
        <v>59</v>
      </c>
      <c r="B45" s="3">
        <f>Parameters!M19</f>
        <v>0</v>
      </c>
      <c r="C45" s="2">
        <v>1</v>
      </c>
      <c r="D45" s="2">
        <f t="shared" si="0"/>
        <v>0</v>
      </c>
      <c r="I45" s="37"/>
    </row>
    <row r="46" spans="1:12" x14ac:dyDescent="0.2">
      <c r="A46" s="1" t="s">
        <v>60</v>
      </c>
      <c r="B46" s="3">
        <f>Parameters!M20</f>
        <v>0</v>
      </c>
      <c r="C46" s="2">
        <v>0.1</v>
      </c>
      <c r="D46" s="2">
        <f t="shared" si="0"/>
        <v>0</v>
      </c>
      <c r="I46" s="37"/>
    </row>
    <row r="47" spans="1:12" x14ac:dyDescent="0.2">
      <c r="A47" s="1" t="s">
        <v>56</v>
      </c>
      <c r="B47" s="3">
        <f>Parameters!M21</f>
        <v>0</v>
      </c>
      <c r="C47" s="2">
        <v>1</v>
      </c>
      <c r="D47" s="2">
        <f t="shared" si="0"/>
        <v>0</v>
      </c>
      <c r="I47" s="37"/>
    </row>
    <row r="48" spans="1:12" x14ac:dyDescent="0.2">
      <c r="A48" s="1" t="s">
        <v>57</v>
      </c>
      <c r="B48" s="3">
        <f>Parameters!M22</f>
        <v>0</v>
      </c>
      <c r="C48" s="2">
        <v>6</v>
      </c>
      <c r="D48" s="2">
        <f t="shared" si="0"/>
        <v>0</v>
      </c>
      <c r="I48" s="37"/>
    </row>
    <row r="49" spans="1:9" x14ac:dyDescent="0.2">
      <c r="A49" s="1" t="s">
        <v>61</v>
      </c>
      <c r="B49" s="3">
        <f>Parameters!M23</f>
        <v>0</v>
      </c>
      <c r="C49" s="2">
        <v>0.2</v>
      </c>
      <c r="D49" s="2">
        <f t="shared" si="0"/>
        <v>0</v>
      </c>
      <c r="I49" s="37"/>
    </row>
    <row r="50" spans="1:9" x14ac:dyDescent="0.2">
      <c r="B50" s="38"/>
      <c r="C50" s="2"/>
      <c r="D50" s="2"/>
      <c r="I50" s="37"/>
    </row>
    <row r="51" spans="1:9" x14ac:dyDescent="0.2">
      <c r="A51" s="1" t="s">
        <v>46</v>
      </c>
      <c r="B51" s="2"/>
      <c r="C51" s="2"/>
      <c r="D51" s="2">
        <f>SUM(D37:D50)</f>
        <v>0</v>
      </c>
    </row>
  </sheetData>
  <phoneticPr fontId="4" type="noConversion"/>
  <conditionalFormatting sqref="D28">
    <cfRule type="cellIs" dxfId="41" priority="1" stopIfTrue="1" operator="lessThan">
      <formula>65</formula>
    </cfRule>
  </conditionalFormatting>
  <conditionalFormatting sqref="E7 E12 E10 K11 B37:B49">
    <cfRule type="cellIs" dxfId="40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2">
    <pageSetUpPr fitToPage="1"/>
  </sheetPr>
  <dimension ref="A2:Q51"/>
  <sheetViews>
    <sheetView workbookViewId="0">
      <selection activeCell="C45" sqref="C45"/>
    </sheetView>
  </sheetViews>
  <sheetFormatPr defaultRowHeight="12.75" x14ac:dyDescent="0.2"/>
  <cols>
    <col min="1" max="1" width="12.140625" style="1" customWidth="1"/>
    <col min="2" max="3" width="9.140625" style="1"/>
    <col min="4" max="4" width="12.42578125" style="1" bestFit="1" customWidth="1"/>
    <col min="5" max="5" width="12" style="1" bestFit="1" customWidth="1"/>
    <col min="6" max="6" width="10.7109375" style="1" customWidth="1"/>
    <col min="7" max="7" width="12.42578125" style="1" bestFit="1" customWidth="1"/>
    <col min="8" max="9" width="9.42578125" style="1" customWidth="1"/>
    <col min="10" max="10" width="14.140625" style="1" bestFit="1" customWidth="1"/>
    <col min="11" max="11" width="5" style="1" bestFit="1" customWidth="1"/>
    <col min="12" max="12" width="14.85546875" style="1" bestFit="1" customWidth="1"/>
    <col min="13" max="13" width="3.7109375" style="1" bestFit="1" customWidth="1"/>
    <col min="14" max="14" width="8.85546875" style="1" bestFit="1" customWidth="1"/>
    <col min="15" max="15" width="3.7109375" style="1" bestFit="1" customWidth="1"/>
    <col min="16" max="16" width="7.42578125" style="1" bestFit="1" customWidth="1"/>
    <col min="17" max="17" width="3.7109375" style="1" bestFit="1" customWidth="1"/>
    <col min="18" max="18" width="6.85546875" style="1" bestFit="1" customWidth="1"/>
    <col min="19" max="16384" width="9.140625" style="1"/>
  </cols>
  <sheetData>
    <row r="2" spans="1:17" ht="15.75" x14ac:dyDescent="0.25">
      <c r="A2" s="22" t="s">
        <v>0</v>
      </c>
    </row>
    <row r="6" spans="1:17" x14ac:dyDescent="0.2">
      <c r="A6" s="26" t="s">
        <v>85</v>
      </c>
    </row>
    <row r="7" spans="1:17" x14ac:dyDescent="0.2">
      <c r="A7" s="25" t="s">
        <v>4</v>
      </c>
      <c r="E7" s="3">
        <f>Parameters!N7</f>
        <v>0</v>
      </c>
      <c r="F7" s="27" t="s">
        <v>86</v>
      </c>
    </row>
    <row r="8" spans="1:17" x14ac:dyDescent="0.2">
      <c r="A8" s="25" t="s">
        <v>5</v>
      </c>
      <c r="E8" s="27">
        <f>total!F18</f>
        <v>1025</v>
      </c>
      <c r="F8" s="27" t="s">
        <v>11</v>
      </c>
      <c r="Q8" s="28"/>
    </row>
    <row r="9" spans="1:17" x14ac:dyDescent="0.2">
      <c r="A9" s="25" t="s">
        <v>9</v>
      </c>
      <c r="E9" s="27">
        <f>total!F17</f>
        <v>1</v>
      </c>
      <c r="F9" s="27" t="s">
        <v>73</v>
      </c>
    </row>
    <row r="10" spans="1:17" x14ac:dyDescent="0.2">
      <c r="A10" s="25" t="s">
        <v>6</v>
      </c>
      <c r="E10" s="3">
        <f>Parameters!N8</f>
        <v>0</v>
      </c>
      <c r="F10" s="27" t="s">
        <v>12</v>
      </c>
    </row>
    <row r="11" spans="1:17" x14ac:dyDescent="0.2">
      <c r="A11" s="25" t="s">
        <v>7</v>
      </c>
      <c r="E11" s="27">
        <f>VLOOKUP(H11,'pipe dimensions'!A1:D21,K11+1)</f>
        <v>50</v>
      </c>
      <c r="F11" s="27" t="s">
        <v>13</v>
      </c>
      <c r="G11" s="28" t="s">
        <v>68</v>
      </c>
      <c r="H11" s="28">
        <v>50</v>
      </c>
      <c r="J11" s="1" t="s">
        <v>72</v>
      </c>
      <c r="K11" s="3">
        <f>Parameters!N10</f>
        <v>0</v>
      </c>
      <c r="L11" s="1" t="s">
        <v>74</v>
      </c>
    </row>
    <row r="12" spans="1:17" x14ac:dyDescent="0.2">
      <c r="A12" s="25" t="s">
        <v>14</v>
      </c>
      <c r="E12" s="3">
        <f>Parameters!N9</f>
        <v>0</v>
      </c>
      <c r="F12" s="27"/>
      <c r="G12" s="28" t="s">
        <v>24</v>
      </c>
      <c r="H12" s="28">
        <v>0.15</v>
      </c>
      <c r="I12" s="1" t="s">
        <v>13</v>
      </c>
      <c r="J12" s="28" t="s">
        <v>25</v>
      </c>
      <c r="K12" s="28">
        <v>0.02</v>
      </c>
      <c r="L12" s="1" t="s">
        <v>13</v>
      </c>
    </row>
    <row r="13" spans="1:17" x14ac:dyDescent="0.2">
      <c r="A13" s="25" t="s">
        <v>8</v>
      </c>
      <c r="E13" s="27">
        <f>IF(E10&gt;0,D51,0)</f>
        <v>0</v>
      </c>
      <c r="F13" s="27"/>
    </row>
    <row r="15" spans="1:17" x14ac:dyDescent="0.2">
      <c r="A15" s="25" t="s">
        <v>1</v>
      </c>
      <c r="H15" s="27"/>
    </row>
    <row r="16" spans="1:17" x14ac:dyDescent="0.2">
      <c r="A16" s="29" t="s">
        <v>3</v>
      </c>
      <c r="D16" s="25" t="s">
        <v>75</v>
      </c>
      <c r="H16" s="30">
        <f>E7/3600/(0.785*(0.001*E11)*(0.001*E11))</f>
        <v>0</v>
      </c>
      <c r="I16" s="27" t="s">
        <v>2</v>
      </c>
    </row>
    <row r="17" spans="1:12" x14ac:dyDescent="0.2">
      <c r="A17" s="29" t="s">
        <v>10</v>
      </c>
      <c r="D17" s="25" t="s">
        <v>76</v>
      </c>
      <c r="H17" s="30">
        <f>H16*0.001*E11/E9*1000000</f>
        <v>0</v>
      </c>
      <c r="I17" s="31">
        <f>H17</f>
        <v>0</v>
      </c>
    </row>
    <row r="18" spans="1:12" x14ac:dyDescent="0.2">
      <c r="A18" s="29" t="s">
        <v>32</v>
      </c>
      <c r="D18" s="25"/>
      <c r="H18" s="32">
        <f>H12/E11</f>
        <v>3.0000000000000001E-3</v>
      </c>
      <c r="I18" s="27"/>
    </row>
    <row r="19" spans="1:12" x14ac:dyDescent="0.2">
      <c r="A19" s="29" t="s">
        <v>26</v>
      </c>
      <c r="D19" s="25"/>
      <c r="H19" s="30">
        <f>H17*H12/E11</f>
        <v>0</v>
      </c>
      <c r="I19" s="27"/>
    </row>
    <row r="20" spans="1:12" x14ac:dyDescent="0.2">
      <c r="A20" s="29"/>
      <c r="D20" s="25"/>
      <c r="H20" s="30"/>
      <c r="I20" s="27"/>
    </row>
    <row r="21" spans="1:12" x14ac:dyDescent="0.2">
      <c r="A21" s="29" t="s">
        <v>78</v>
      </c>
      <c r="D21" s="1" t="s">
        <v>77</v>
      </c>
      <c r="H21" s="32">
        <f>IF((E7&gt;0),64/H17,0)</f>
        <v>0</v>
      </c>
      <c r="I21" s="27"/>
    </row>
    <row r="22" spans="1:12" x14ac:dyDescent="0.2">
      <c r="A22" s="29" t="s">
        <v>80</v>
      </c>
      <c r="D22" s="1" t="s">
        <v>79</v>
      </c>
      <c r="H22" s="32">
        <f>IF((E7&gt;0),(0.0055*(1+(20000*IF(E12&gt;1,K12/1000,H12/1000)/(0.001*E11)+1000000/H17)^0.333333)),0)</f>
        <v>0</v>
      </c>
      <c r="I22" s="27"/>
    </row>
    <row r="23" spans="1:12" x14ac:dyDescent="0.2">
      <c r="A23" s="1" t="s">
        <v>82</v>
      </c>
      <c r="D23" s="1" t="s">
        <v>81</v>
      </c>
      <c r="H23" s="33">
        <f>((IF(H17&gt;2320,H22,H21))*E10/(0.001*E11)+E13)*E8*H16*H16/(2*100000)</f>
        <v>0</v>
      </c>
      <c r="I23" s="27" t="s">
        <v>52</v>
      </c>
      <c r="J23" s="1" t="s">
        <v>19</v>
      </c>
    </row>
    <row r="24" spans="1:12" x14ac:dyDescent="0.2">
      <c r="H24" s="30">
        <f>+H23*100/(9.81)</f>
        <v>0</v>
      </c>
      <c r="I24" s="27" t="s">
        <v>15</v>
      </c>
      <c r="J24" s="1" t="s">
        <v>20</v>
      </c>
    </row>
    <row r="25" spans="1:12" x14ac:dyDescent="0.2">
      <c r="H25" s="27" t="s">
        <v>16</v>
      </c>
      <c r="I25" s="27"/>
    </row>
    <row r="26" spans="1:12" s="24" customFormat="1" hidden="1" x14ac:dyDescent="0.2"/>
    <row r="27" spans="1:12" hidden="1" x14ac:dyDescent="0.2"/>
    <row r="28" spans="1:12" hidden="1" x14ac:dyDescent="0.2">
      <c r="A28" s="1" t="s">
        <v>41</v>
      </c>
      <c r="D28" s="1" t="s">
        <v>18</v>
      </c>
      <c r="H28" s="1" t="s">
        <v>21</v>
      </c>
      <c r="L28" s="1" t="s">
        <v>23</v>
      </c>
    </row>
    <row r="29" spans="1:12" hidden="1" x14ac:dyDescent="0.2">
      <c r="D29" s="34" t="s">
        <v>22</v>
      </c>
      <c r="F29" s="1" t="s">
        <v>42</v>
      </c>
      <c r="H29" s="35" t="s">
        <v>35</v>
      </c>
      <c r="L29" s="36" t="s">
        <v>36</v>
      </c>
    </row>
    <row r="30" spans="1:12" hidden="1" x14ac:dyDescent="0.2">
      <c r="B30" s="1" t="s">
        <v>28</v>
      </c>
    </row>
    <row r="31" spans="1:12" hidden="1" x14ac:dyDescent="0.2">
      <c r="C31" s="1" t="s">
        <v>27</v>
      </c>
      <c r="D31" s="27" t="e">
        <f>0.3164*H17^-0.25</f>
        <v>#DIV/0!</v>
      </c>
      <c r="E31" s="1" t="s">
        <v>39</v>
      </c>
      <c r="F31" s="1" t="s">
        <v>43</v>
      </c>
      <c r="G31" s="1" t="s">
        <v>30</v>
      </c>
      <c r="H31" s="1">
        <f>(1/(2*LOG10((E11/H12))+1.14))^2</f>
        <v>2.6134501498587013E-2</v>
      </c>
      <c r="I31" s="1" t="s">
        <v>37</v>
      </c>
      <c r="K31" s="1" t="s">
        <v>34</v>
      </c>
      <c r="L31" s="1" t="e">
        <f>1/(-2*LOG10(H12/(3.72*E11)+2.51/H17*((H17*E11/H12)^0.0625)*(1/0.48)))^2</f>
        <v>#DIV/0!</v>
      </c>
    </row>
    <row r="32" spans="1:12" hidden="1" x14ac:dyDescent="0.2">
      <c r="C32" s="1" t="s">
        <v>29</v>
      </c>
      <c r="D32" s="1" t="e">
        <f>0.0032+0.221*H17^-0.237</f>
        <v>#DIV/0!</v>
      </c>
      <c r="E32" s="1" t="s">
        <v>37</v>
      </c>
      <c r="F32" s="1" t="s">
        <v>44</v>
      </c>
      <c r="G32" s="1" t="s">
        <v>31</v>
      </c>
      <c r="H32" s="1">
        <f>0.0055+0.15*(H12/E11)^(1/3)</f>
        <v>2.7133743554611123E-2</v>
      </c>
      <c r="I32" s="1" t="s">
        <v>38</v>
      </c>
    </row>
    <row r="33" spans="1:12" hidden="1" x14ac:dyDescent="0.2">
      <c r="C33" s="1" t="s">
        <v>33</v>
      </c>
      <c r="D33" s="1" t="e">
        <f>0.0054+0.3964/H17^0.3</f>
        <v>#DIV/0!</v>
      </c>
      <c r="E33" s="1" t="s">
        <v>40</v>
      </c>
      <c r="F33" s="1" t="s">
        <v>45</v>
      </c>
    </row>
    <row r="34" spans="1:12" hidden="1" x14ac:dyDescent="0.2"/>
    <row r="36" spans="1:12" x14ac:dyDescent="0.2">
      <c r="A36" s="25" t="s">
        <v>47</v>
      </c>
      <c r="B36" s="1" t="s">
        <v>49</v>
      </c>
      <c r="C36" s="1" t="s">
        <v>48</v>
      </c>
      <c r="D36" s="1" t="s">
        <v>50</v>
      </c>
      <c r="F36" s="1" t="s">
        <v>58</v>
      </c>
    </row>
    <row r="37" spans="1:12" x14ac:dyDescent="0.2">
      <c r="A37" s="29" t="s">
        <v>53</v>
      </c>
      <c r="B37" s="3">
        <f>Parameters!N11</f>
        <v>0</v>
      </c>
      <c r="C37" s="2">
        <v>5</v>
      </c>
      <c r="D37" s="2">
        <f t="shared" ref="D37:D49" si="0">B37*C37</f>
        <v>0</v>
      </c>
    </row>
    <row r="38" spans="1:12" x14ac:dyDescent="0.2">
      <c r="A38" s="29" t="s">
        <v>54</v>
      </c>
      <c r="B38" s="3">
        <f>Parameters!N12</f>
        <v>0</v>
      </c>
      <c r="C38" s="2">
        <v>0.5</v>
      </c>
      <c r="D38" s="2">
        <f t="shared" si="0"/>
        <v>0</v>
      </c>
      <c r="I38" s="37"/>
    </row>
    <row r="39" spans="1:12" x14ac:dyDescent="0.2">
      <c r="A39" s="29" t="s">
        <v>62</v>
      </c>
      <c r="B39" s="3">
        <f>Parameters!N13</f>
        <v>0</v>
      </c>
      <c r="C39" s="2">
        <v>4</v>
      </c>
      <c r="D39" s="2">
        <f t="shared" si="0"/>
        <v>0</v>
      </c>
      <c r="I39" s="37"/>
    </row>
    <row r="40" spans="1:12" x14ac:dyDescent="0.2">
      <c r="A40" s="1" t="s">
        <v>94</v>
      </c>
      <c r="B40" s="3">
        <f>Parameters!N14</f>
        <v>0</v>
      </c>
      <c r="C40" s="2">
        <v>5</v>
      </c>
      <c r="D40" s="2">
        <f t="shared" si="0"/>
        <v>0</v>
      </c>
      <c r="I40" s="37"/>
    </row>
    <row r="41" spans="1:12" x14ac:dyDescent="0.2">
      <c r="A41" s="40" t="s">
        <v>95</v>
      </c>
      <c r="B41" s="3">
        <f>Parameters!N15</f>
        <v>0</v>
      </c>
      <c r="C41" s="2">
        <v>0.5</v>
      </c>
      <c r="D41" s="2">
        <f t="shared" si="0"/>
        <v>0</v>
      </c>
      <c r="I41" s="37"/>
    </row>
    <row r="42" spans="1:12" x14ac:dyDescent="0.2">
      <c r="A42" s="1" t="s">
        <v>63</v>
      </c>
      <c r="B42" s="3">
        <f>Parameters!N16</f>
        <v>0</v>
      </c>
      <c r="C42" s="2">
        <v>0.5</v>
      </c>
      <c r="D42" s="2">
        <f t="shared" si="0"/>
        <v>0</v>
      </c>
      <c r="L42" s="37"/>
    </row>
    <row r="43" spans="1:12" x14ac:dyDescent="0.2">
      <c r="A43" s="1" t="s">
        <v>64</v>
      </c>
      <c r="B43" s="3">
        <f>Parameters!N17</f>
        <v>0</v>
      </c>
      <c r="C43" s="2">
        <v>1</v>
      </c>
      <c r="D43" s="2">
        <f t="shared" si="0"/>
        <v>0</v>
      </c>
      <c r="L43" s="37"/>
    </row>
    <row r="44" spans="1:12" x14ac:dyDescent="0.2">
      <c r="A44" s="1" t="s">
        <v>51</v>
      </c>
      <c r="B44" s="3">
        <f>Parameters!N18</f>
        <v>0</v>
      </c>
      <c r="C44" s="2">
        <f>IF(H17&gt;2300,0.35,3.5)</f>
        <v>3.5</v>
      </c>
      <c r="D44" s="2">
        <f t="shared" si="0"/>
        <v>0</v>
      </c>
      <c r="F44" s="1" t="s">
        <v>89</v>
      </c>
      <c r="L44" s="37"/>
    </row>
    <row r="45" spans="1:12" x14ac:dyDescent="0.2">
      <c r="A45" s="1" t="s">
        <v>59</v>
      </c>
      <c r="B45" s="3">
        <f>Parameters!N19</f>
        <v>0</v>
      </c>
      <c r="C45" s="2">
        <v>1</v>
      </c>
      <c r="D45" s="2">
        <f t="shared" si="0"/>
        <v>0</v>
      </c>
      <c r="I45" s="37"/>
    </row>
    <row r="46" spans="1:12" x14ac:dyDescent="0.2">
      <c r="A46" s="1" t="s">
        <v>60</v>
      </c>
      <c r="B46" s="3">
        <f>Parameters!N20</f>
        <v>0</v>
      </c>
      <c r="C46" s="2">
        <v>0.1</v>
      </c>
      <c r="D46" s="2">
        <f t="shared" si="0"/>
        <v>0</v>
      </c>
      <c r="I46" s="37"/>
    </row>
    <row r="47" spans="1:12" x14ac:dyDescent="0.2">
      <c r="A47" s="1" t="s">
        <v>56</v>
      </c>
      <c r="B47" s="3">
        <f>Parameters!N21</f>
        <v>0</v>
      </c>
      <c r="C47" s="2">
        <v>1</v>
      </c>
      <c r="D47" s="2">
        <f t="shared" si="0"/>
        <v>0</v>
      </c>
      <c r="I47" s="37"/>
    </row>
    <row r="48" spans="1:12" x14ac:dyDescent="0.2">
      <c r="A48" s="1" t="s">
        <v>57</v>
      </c>
      <c r="B48" s="3">
        <f>Parameters!N22</f>
        <v>0</v>
      </c>
      <c r="C48" s="2">
        <v>6</v>
      </c>
      <c r="D48" s="2">
        <f t="shared" si="0"/>
        <v>0</v>
      </c>
      <c r="I48" s="37"/>
    </row>
    <row r="49" spans="1:9" x14ac:dyDescent="0.2">
      <c r="A49" s="1" t="s">
        <v>61</v>
      </c>
      <c r="B49" s="3">
        <f>Parameters!N23</f>
        <v>0</v>
      </c>
      <c r="C49" s="2">
        <v>0.2</v>
      </c>
      <c r="D49" s="2">
        <f t="shared" si="0"/>
        <v>0</v>
      </c>
      <c r="I49" s="37"/>
    </row>
    <row r="50" spans="1:9" x14ac:dyDescent="0.2">
      <c r="B50" s="38"/>
      <c r="C50" s="2"/>
      <c r="D50" s="2"/>
      <c r="I50" s="37"/>
    </row>
    <row r="51" spans="1:9" x14ac:dyDescent="0.2">
      <c r="A51" s="1" t="s">
        <v>46</v>
      </c>
      <c r="B51" s="2"/>
      <c r="C51" s="2"/>
      <c r="D51" s="2">
        <f>SUM(D37:D50)</f>
        <v>0</v>
      </c>
    </row>
  </sheetData>
  <phoneticPr fontId="4" type="noConversion"/>
  <conditionalFormatting sqref="D28">
    <cfRule type="cellIs" dxfId="39" priority="1" stopIfTrue="1" operator="lessThan">
      <formula>65</formula>
    </cfRule>
  </conditionalFormatting>
  <conditionalFormatting sqref="E7 E12 E10 K11 B37:B49">
    <cfRule type="cellIs" dxfId="38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3">
    <pageSetUpPr fitToPage="1"/>
  </sheetPr>
  <dimension ref="A2:Q51"/>
  <sheetViews>
    <sheetView workbookViewId="0">
      <selection activeCell="U45" sqref="U45"/>
    </sheetView>
  </sheetViews>
  <sheetFormatPr defaultRowHeight="12.75" x14ac:dyDescent="0.2"/>
  <cols>
    <col min="1" max="1" width="12.140625" style="1" customWidth="1"/>
    <col min="2" max="3" width="9.140625" style="1"/>
    <col min="4" max="4" width="12.42578125" style="1" bestFit="1" customWidth="1"/>
    <col min="5" max="5" width="12" style="1" bestFit="1" customWidth="1"/>
    <col min="6" max="6" width="10.7109375" style="1" customWidth="1"/>
    <col min="7" max="7" width="12.42578125" style="1" bestFit="1" customWidth="1"/>
    <col min="8" max="9" width="9.42578125" style="1" customWidth="1"/>
    <col min="10" max="10" width="14.140625" style="1" bestFit="1" customWidth="1"/>
    <col min="11" max="11" width="5" style="1" bestFit="1" customWidth="1"/>
    <col min="12" max="12" width="14.85546875" style="1" bestFit="1" customWidth="1"/>
    <col min="13" max="13" width="3.7109375" style="1" bestFit="1" customWidth="1"/>
    <col min="14" max="14" width="8.85546875" style="1" bestFit="1" customWidth="1"/>
    <col min="15" max="15" width="3.7109375" style="1" bestFit="1" customWidth="1"/>
    <col min="16" max="16" width="7.42578125" style="1" bestFit="1" customWidth="1"/>
    <col min="17" max="17" width="3.7109375" style="1" bestFit="1" customWidth="1"/>
    <col min="18" max="18" width="6.85546875" style="1" bestFit="1" customWidth="1"/>
    <col min="19" max="16384" width="9.140625" style="1"/>
  </cols>
  <sheetData>
    <row r="2" spans="1:17" ht="15.75" x14ac:dyDescent="0.25">
      <c r="A2" s="22" t="s">
        <v>0</v>
      </c>
    </row>
    <row r="6" spans="1:17" x14ac:dyDescent="0.2">
      <c r="A6" s="26" t="s">
        <v>85</v>
      </c>
    </row>
    <row r="7" spans="1:17" x14ac:dyDescent="0.2">
      <c r="A7" s="25" t="s">
        <v>4</v>
      </c>
      <c r="E7" s="3">
        <f>Parameters!O7</f>
        <v>0</v>
      </c>
      <c r="F7" s="27" t="s">
        <v>86</v>
      </c>
    </row>
    <row r="8" spans="1:17" x14ac:dyDescent="0.2">
      <c r="A8" s="25" t="s">
        <v>5</v>
      </c>
      <c r="E8" s="27">
        <f>total!F18</f>
        <v>1025</v>
      </c>
      <c r="F8" s="27" t="s">
        <v>11</v>
      </c>
      <c r="Q8" s="28"/>
    </row>
    <row r="9" spans="1:17" x14ac:dyDescent="0.2">
      <c r="A9" s="25" t="s">
        <v>9</v>
      </c>
      <c r="E9" s="27">
        <f>total!F17</f>
        <v>1</v>
      </c>
      <c r="F9" s="27" t="s">
        <v>73</v>
      </c>
    </row>
    <row r="10" spans="1:17" x14ac:dyDescent="0.2">
      <c r="A10" s="25" t="s">
        <v>6</v>
      </c>
      <c r="E10" s="3">
        <f>Parameters!O8</f>
        <v>0</v>
      </c>
      <c r="F10" s="27" t="s">
        <v>12</v>
      </c>
    </row>
    <row r="11" spans="1:17" x14ac:dyDescent="0.2">
      <c r="A11" s="25" t="s">
        <v>7</v>
      </c>
      <c r="E11" s="27">
        <f>VLOOKUP(H11,'pipe dimensions'!A1:D21,K11+1)</f>
        <v>40</v>
      </c>
      <c r="F11" s="27" t="s">
        <v>13</v>
      </c>
      <c r="G11" s="28" t="s">
        <v>68</v>
      </c>
      <c r="H11" s="28">
        <v>40</v>
      </c>
      <c r="J11" s="1" t="s">
        <v>72</v>
      </c>
      <c r="K11" s="3">
        <f>Parameters!O10</f>
        <v>0</v>
      </c>
      <c r="L11" s="1" t="s">
        <v>74</v>
      </c>
    </row>
    <row r="12" spans="1:17" x14ac:dyDescent="0.2">
      <c r="A12" s="25" t="s">
        <v>14</v>
      </c>
      <c r="E12" s="3">
        <f>Parameters!O9</f>
        <v>0</v>
      </c>
      <c r="F12" s="27"/>
      <c r="G12" s="28" t="s">
        <v>24</v>
      </c>
      <c r="H12" s="28">
        <v>0.15</v>
      </c>
      <c r="I12" s="1" t="s">
        <v>13</v>
      </c>
      <c r="J12" s="28" t="s">
        <v>25</v>
      </c>
      <c r="K12" s="28">
        <v>0.02</v>
      </c>
      <c r="L12" s="1" t="s">
        <v>13</v>
      </c>
    </row>
    <row r="13" spans="1:17" x14ac:dyDescent="0.2">
      <c r="A13" s="25" t="s">
        <v>8</v>
      </c>
      <c r="E13" s="27">
        <f>IF(E10&gt;0,D51,0)</f>
        <v>0</v>
      </c>
      <c r="F13" s="27"/>
    </row>
    <row r="15" spans="1:17" x14ac:dyDescent="0.2">
      <c r="A15" s="25" t="s">
        <v>1</v>
      </c>
      <c r="H15" s="27"/>
    </row>
    <row r="16" spans="1:17" x14ac:dyDescent="0.2">
      <c r="A16" s="29" t="s">
        <v>3</v>
      </c>
      <c r="D16" s="25" t="s">
        <v>75</v>
      </c>
      <c r="H16" s="30">
        <f>E7/3600/(0.785*(0.001*E11)*(0.001*E11))</f>
        <v>0</v>
      </c>
      <c r="I16" s="27" t="s">
        <v>2</v>
      </c>
    </row>
    <row r="17" spans="1:12" x14ac:dyDescent="0.2">
      <c r="A17" s="29" t="s">
        <v>10</v>
      </c>
      <c r="D17" s="25" t="s">
        <v>76</v>
      </c>
      <c r="H17" s="30">
        <f>H16*0.001*E11/E9*1000000</f>
        <v>0</v>
      </c>
      <c r="I17" s="31">
        <f>H17</f>
        <v>0</v>
      </c>
    </row>
    <row r="18" spans="1:12" x14ac:dyDescent="0.2">
      <c r="A18" s="29" t="s">
        <v>32</v>
      </c>
      <c r="D18" s="25"/>
      <c r="H18" s="32">
        <f>H12/E11</f>
        <v>3.7499999999999999E-3</v>
      </c>
      <c r="I18" s="27"/>
    </row>
    <row r="19" spans="1:12" x14ac:dyDescent="0.2">
      <c r="A19" s="29" t="s">
        <v>26</v>
      </c>
      <c r="D19" s="25"/>
      <c r="H19" s="30">
        <f>H17*H12/E11</f>
        <v>0</v>
      </c>
      <c r="I19" s="27"/>
    </row>
    <row r="20" spans="1:12" x14ac:dyDescent="0.2">
      <c r="A20" s="29"/>
      <c r="D20" s="25"/>
      <c r="H20" s="30"/>
      <c r="I20" s="27"/>
    </row>
    <row r="21" spans="1:12" x14ac:dyDescent="0.2">
      <c r="A21" s="29" t="s">
        <v>78</v>
      </c>
      <c r="D21" s="1" t="s">
        <v>77</v>
      </c>
      <c r="H21" s="32">
        <f>IF((E7&gt;0),64/H17,0)</f>
        <v>0</v>
      </c>
      <c r="I21" s="27"/>
    </row>
    <row r="22" spans="1:12" x14ac:dyDescent="0.2">
      <c r="A22" s="29" t="s">
        <v>80</v>
      </c>
      <c r="D22" s="1" t="s">
        <v>79</v>
      </c>
      <c r="H22" s="32">
        <f>IF((E7&gt;0),(0.0055*(1+(20000*IF(E12&gt;1,K12/1000,H12/1000)/(0.001*E11)+1000000/H17)^0.333333)),0)</f>
        <v>0</v>
      </c>
      <c r="I22" s="27"/>
    </row>
    <row r="23" spans="1:12" x14ac:dyDescent="0.2">
      <c r="A23" s="1" t="s">
        <v>82</v>
      </c>
      <c r="D23" s="1" t="s">
        <v>81</v>
      </c>
      <c r="H23" s="33">
        <f>((IF(H17&gt;2320,H22,H21))*E10/(0.001*E11)+E13)*E8*H16*H16/(2*100000)</f>
        <v>0</v>
      </c>
      <c r="I23" s="27" t="s">
        <v>52</v>
      </c>
      <c r="J23" s="1" t="s">
        <v>19</v>
      </c>
    </row>
    <row r="24" spans="1:12" x14ac:dyDescent="0.2">
      <c r="H24" s="30">
        <f>+H23*100/(9.81)</f>
        <v>0</v>
      </c>
      <c r="I24" s="27" t="s">
        <v>15</v>
      </c>
      <c r="J24" s="1" t="s">
        <v>20</v>
      </c>
    </row>
    <row r="25" spans="1:12" x14ac:dyDescent="0.2">
      <c r="H25" s="27" t="s">
        <v>16</v>
      </c>
      <c r="I25" s="27"/>
    </row>
    <row r="26" spans="1:12" s="24" customFormat="1" hidden="1" x14ac:dyDescent="0.2"/>
    <row r="27" spans="1:12" hidden="1" x14ac:dyDescent="0.2"/>
    <row r="28" spans="1:12" hidden="1" x14ac:dyDescent="0.2">
      <c r="A28" s="1" t="s">
        <v>41</v>
      </c>
      <c r="D28" s="1" t="s">
        <v>18</v>
      </c>
      <c r="H28" s="1" t="s">
        <v>21</v>
      </c>
      <c r="L28" s="1" t="s">
        <v>23</v>
      </c>
    </row>
    <row r="29" spans="1:12" hidden="1" x14ac:dyDescent="0.2">
      <c r="D29" s="34" t="s">
        <v>22</v>
      </c>
      <c r="F29" s="1" t="s">
        <v>42</v>
      </c>
      <c r="H29" s="35" t="s">
        <v>35</v>
      </c>
      <c r="L29" s="36" t="s">
        <v>36</v>
      </c>
    </row>
    <row r="30" spans="1:12" hidden="1" x14ac:dyDescent="0.2">
      <c r="B30" s="1" t="s">
        <v>28</v>
      </c>
    </row>
    <row r="31" spans="1:12" hidden="1" x14ac:dyDescent="0.2">
      <c r="C31" s="1" t="s">
        <v>27</v>
      </c>
      <c r="D31" s="27" t="e">
        <f>0.3164*H17^-0.25</f>
        <v>#DIV/0!</v>
      </c>
      <c r="E31" s="1" t="s">
        <v>39</v>
      </c>
      <c r="F31" s="1" t="s">
        <v>43</v>
      </c>
      <c r="G31" s="1" t="s">
        <v>30</v>
      </c>
      <c r="H31" s="1">
        <f>(1/(2*LOG10((E11/H12))+1.14))^2</f>
        <v>2.785258162722809E-2</v>
      </c>
      <c r="I31" s="1" t="s">
        <v>37</v>
      </c>
      <c r="K31" s="1" t="s">
        <v>34</v>
      </c>
      <c r="L31" s="1" t="e">
        <f>1/(-2*LOG10(H12/(3.72*E11)+2.51/H17*((H17*E11/H12)^0.0625)*(1/0.48)))^2</f>
        <v>#DIV/0!</v>
      </c>
    </row>
    <row r="32" spans="1:12" hidden="1" x14ac:dyDescent="0.2">
      <c r="C32" s="1" t="s">
        <v>29</v>
      </c>
      <c r="D32" s="1" t="e">
        <f>0.0032+0.221*H17^-0.237</f>
        <v>#DIV/0!</v>
      </c>
      <c r="E32" s="1" t="s">
        <v>37</v>
      </c>
      <c r="F32" s="1" t="s">
        <v>44</v>
      </c>
      <c r="G32" s="1" t="s">
        <v>31</v>
      </c>
      <c r="H32" s="1">
        <f>0.0055+0.15*(H12/E11)^(1/3)</f>
        <v>2.880424379465394E-2</v>
      </c>
      <c r="I32" s="1" t="s">
        <v>38</v>
      </c>
    </row>
    <row r="33" spans="1:12" hidden="1" x14ac:dyDescent="0.2">
      <c r="C33" s="1" t="s">
        <v>33</v>
      </c>
      <c r="D33" s="1" t="e">
        <f>0.0054+0.3964/H17^0.3</f>
        <v>#DIV/0!</v>
      </c>
      <c r="E33" s="1" t="s">
        <v>40</v>
      </c>
      <c r="F33" s="1" t="s">
        <v>45</v>
      </c>
    </row>
    <row r="34" spans="1:12" hidden="1" x14ac:dyDescent="0.2"/>
    <row r="36" spans="1:12" x14ac:dyDescent="0.2">
      <c r="A36" s="25" t="s">
        <v>47</v>
      </c>
      <c r="B36" s="1" t="s">
        <v>49</v>
      </c>
      <c r="C36" s="1" t="s">
        <v>48</v>
      </c>
      <c r="D36" s="1" t="s">
        <v>50</v>
      </c>
      <c r="F36" s="1" t="s">
        <v>58</v>
      </c>
    </row>
    <row r="37" spans="1:12" x14ac:dyDescent="0.2">
      <c r="A37" s="29" t="s">
        <v>53</v>
      </c>
      <c r="B37" s="3">
        <f>Parameters!O11</f>
        <v>0</v>
      </c>
      <c r="C37" s="2">
        <v>5</v>
      </c>
      <c r="D37" s="2">
        <f t="shared" ref="D37:D49" si="0">B37*C37</f>
        <v>0</v>
      </c>
    </row>
    <row r="38" spans="1:12" x14ac:dyDescent="0.2">
      <c r="A38" s="29" t="s">
        <v>54</v>
      </c>
      <c r="B38" s="3">
        <f>Parameters!O12</f>
        <v>0</v>
      </c>
      <c r="C38" s="2">
        <v>0.5</v>
      </c>
      <c r="D38" s="2">
        <f t="shared" si="0"/>
        <v>0</v>
      </c>
      <c r="I38" s="37"/>
    </row>
    <row r="39" spans="1:12" x14ac:dyDescent="0.2">
      <c r="A39" s="29" t="s">
        <v>62</v>
      </c>
      <c r="B39" s="3">
        <f>Parameters!O13</f>
        <v>0</v>
      </c>
      <c r="C39" s="2">
        <v>4</v>
      </c>
      <c r="D39" s="2">
        <f t="shared" si="0"/>
        <v>0</v>
      </c>
      <c r="I39" s="37"/>
    </row>
    <row r="40" spans="1:12" x14ac:dyDescent="0.2">
      <c r="A40" s="1" t="s">
        <v>94</v>
      </c>
      <c r="B40" s="3">
        <f>Parameters!O14</f>
        <v>0</v>
      </c>
      <c r="C40" s="2">
        <v>5</v>
      </c>
      <c r="D40" s="2">
        <f t="shared" si="0"/>
        <v>0</v>
      </c>
      <c r="I40" s="37"/>
    </row>
    <row r="41" spans="1:12" x14ac:dyDescent="0.2">
      <c r="A41" s="40" t="s">
        <v>95</v>
      </c>
      <c r="B41" s="3">
        <f>Parameters!O15</f>
        <v>0</v>
      </c>
      <c r="C41" s="2">
        <v>0.5</v>
      </c>
      <c r="D41" s="2">
        <f t="shared" si="0"/>
        <v>0</v>
      </c>
      <c r="I41" s="37"/>
    </row>
    <row r="42" spans="1:12" x14ac:dyDescent="0.2">
      <c r="A42" s="1" t="s">
        <v>63</v>
      </c>
      <c r="B42" s="3">
        <f>Parameters!O16</f>
        <v>0</v>
      </c>
      <c r="C42" s="2">
        <v>0.5</v>
      </c>
      <c r="D42" s="2">
        <f t="shared" si="0"/>
        <v>0</v>
      </c>
      <c r="L42" s="37"/>
    </row>
    <row r="43" spans="1:12" x14ac:dyDescent="0.2">
      <c r="A43" s="1" t="s">
        <v>64</v>
      </c>
      <c r="B43" s="3">
        <f>Parameters!O17</f>
        <v>0</v>
      </c>
      <c r="C43" s="2">
        <v>1</v>
      </c>
      <c r="D43" s="2">
        <f t="shared" si="0"/>
        <v>0</v>
      </c>
      <c r="L43" s="37"/>
    </row>
    <row r="44" spans="1:12" x14ac:dyDescent="0.2">
      <c r="A44" s="1" t="s">
        <v>51</v>
      </c>
      <c r="B44" s="3">
        <f>Parameters!O18</f>
        <v>0</v>
      </c>
      <c r="C44" s="2">
        <f>IF(H17&gt;2300,0.35,3.5)</f>
        <v>3.5</v>
      </c>
      <c r="D44" s="2">
        <f t="shared" si="0"/>
        <v>0</v>
      </c>
      <c r="F44" s="1" t="s">
        <v>89</v>
      </c>
      <c r="L44" s="37"/>
    </row>
    <row r="45" spans="1:12" x14ac:dyDescent="0.2">
      <c r="A45" s="1" t="s">
        <v>59</v>
      </c>
      <c r="B45" s="3">
        <f>Parameters!O19</f>
        <v>0</v>
      </c>
      <c r="C45" s="2">
        <v>1</v>
      </c>
      <c r="D45" s="2">
        <f t="shared" si="0"/>
        <v>0</v>
      </c>
      <c r="I45" s="37"/>
    </row>
    <row r="46" spans="1:12" x14ac:dyDescent="0.2">
      <c r="A46" s="1" t="s">
        <v>60</v>
      </c>
      <c r="B46" s="3">
        <f>Parameters!O20</f>
        <v>0</v>
      </c>
      <c r="C46" s="2">
        <v>0.1</v>
      </c>
      <c r="D46" s="2">
        <f t="shared" si="0"/>
        <v>0</v>
      </c>
      <c r="I46" s="37"/>
    </row>
    <row r="47" spans="1:12" x14ac:dyDescent="0.2">
      <c r="A47" s="1" t="s">
        <v>56</v>
      </c>
      <c r="B47" s="3">
        <f>Parameters!O21</f>
        <v>0</v>
      </c>
      <c r="C47" s="2">
        <v>1</v>
      </c>
      <c r="D47" s="2">
        <f t="shared" si="0"/>
        <v>0</v>
      </c>
      <c r="I47" s="37"/>
    </row>
    <row r="48" spans="1:12" x14ac:dyDescent="0.2">
      <c r="A48" s="1" t="s">
        <v>57</v>
      </c>
      <c r="B48" s="3">
        <f>Parameters!O22</f>
        <v>0</v>
      </c>
      <c r="C48" s="2">
        <v>6</v>
      </c>
      <c r="D48" s="2">
        <f t="shared" si="0"/>
        <v>0</v>
      </c>
      <c r="I48" s="37"/>
    </row>
    <row r="49" spans="1:9" x14ac:dyDescent="0.2">
      <c r="A49" s="1" t="s">
        <v>61</v>
      </c>
      <c r="B49" s="3">
        <f>Parameters!O23</f>
        <v>0</v>
      </c>
      <c r="C49" s="2">
        <v>0.2</v>
      </c>
      <c r="D49" s="2">
        <f t="shared" si="0"/>
        <v>0</v>
      </c>
      <c r="I49" s="37"/>
    </row>
    <row r="50" spans="1:9" x14ac:dyDescent="0.2">
      <c r="B50" s="38"/>
      <c r="C50" s="2"/>
      <c r="D50" s="2"/>
      <c r="I50" s="37"/>
    </row>
    <row r="51" spans="1:9" x14ac:dyDescent="0.2">
      <c r="A51" s="1" t="s">
        <v>46</v>
      </c>
      <c r="B51" s="2"/>
      <c r="C51" s="2"/>
      <c r="D51" s="2">
        <f>SUM(D37:D50)</f>
        <v>0</v>
      </c>
    </row>
  </sheetData>
  <phoneticPr fontId="4" type="noConversion"/>
  <conditionalFormatting sqref="D28">
    <cfRule type="cellIs" dxfId="37" priority="1" stopIfTrue="1" operator="lessThan">
      <formula>65</formula>
    </cfRule>
  </conditionalFormatting>
  <conditionalFormatting sqref="E7 E12 E10 K11 B37:B49">
    <cfRule type="cellIs" dxfId="36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4">
    <pageSetUpPr fitToPage="1"/>
  </sheetPr>
  <dimension ref="A2:Q51"/>
  <sheetViews>
    <sheetView workbookViewId="0">
      <selection activeCell="R59" sqref="R59"/>
    </sheetView>
  </sheetViews>
  <sheetFormatPr defaultRowHeight="12.75" x14ac:dyDescent="0.2"/>
  <cols>
    <col min="1" max="1" width="12.140625" style="1" customWidth="1"/>
    <col min="2" max="3" width="9.140625" style="1"/>
    <col min="4" max="4" width="12.42578125" style="1" bestFit="1" customWidth="1"/>
    <col min="5" max="5" width="12" style="1" bestFit="1" customWidth="1"/>
    <col min="6" max="6" width="10.7109375" style="1" customWidth="1"/>
    <col min="7" max="7" width="12.42578125" style="1" bestFit="1" customWidth="1"/>
    <col min="8" max="9" width="9.42578125" style="1" customWidth="1"/>
    <col min="10" max="10" width="14.140625" style="1" bestFit="1" customWidth="1"/>
    <col min="11" max="11" width="5" style="1" bestFit="1" customWidth="1"/>
    <col min="12" max="12" width="14.85546875" style="1" bestFit="1" customWidth="1"/>
    <col min="13" max="13" width="3.7109375" style="1" bestFit="1" customWidth="1"/>
    <col min="14" max="14" width="8.85546875" style="1" bestFit="1" customWidth="1"/>
    <col min="15" max="15" width="3.7109375" style="1" bestFit="1" customWidth="1"/>
    <col min="16" max="16" width="7.42578125" style="1" bestFit="1" customWidth="1"/>
    <col min="17" max="17" width="3.7109375" style="1" bestFit="1" customWidth="1"/>
    <col min="18" max="18" width="6.85546875" style="1" bestFit="1" customWidth="1"/>
    <col min="19" max="16384" width="9.140625" style="1"/>
  </cols>
  <sheetData>
    <row r="2" spans="1:17" ht="15.75" x14ac:dyDescent="0.25">
      <c r="A2" s="22" t="s">
        <v>0</v>
      </c>
    </row>
    <row r="6" spans="1:17" x14ac:dyDescent="0.2">
      <c r="A6" s="26" t="s">
        <v>85</v>
      </c>
    </row>
    <row r="7" spans="1:17" x14ac:dyDescent="0.2">
      <c r="A7" s="25" t="s">
        <v>4</v>
      </c>
      <c r="E7" s="3">
        <f>Parameters!P7</f>
        <v>0</v>
      </c>
      <c r="F7" s="27" t="s">
        <v>86</v>
      </c>
    </row>
    <row r="8" spans="1:17" x14ac:dyDescent="0.2">
      <c r="A8" s="25" t="s">
        <v>5</v>
      </c>
      <c r="E8" s="27">
        <f>total!F18</f>
        <v>1025</v>
      </c>
      <c r="F8" s="27" t="s">
        <v>11</v>
      </c>
      <c r="Q8" s="28"/>
    </row>
    <row r="9" spans="1:17" x14ac:dyDescent="0.2">
      <c r="A9" s="25" t="s">
        <v>9</v>
      </c>
      <c r="E9" s="27">
        <f>total!F17</f>
        <v>1</v>
      </c>
      <c r="F9" s="27" t="s">
        <v>73</v>
      </c>
    </row>
    <row r="10" spans="1:17" x14ac:dyDescent="0.2">
      <c r="A10" s="25" t="s">
        <v>6</v>
      </c>
      <c r="E10" s="3">
        <f>Parameters!P8</f>
        <v>0</v>
      </c>
      <c r="F10" s="27" t="s">
        <v>12</v>
      </c>
    </row>
    <row r="11" spans="1:17" x14ac:dyDescent="0.2">
      <c r="A11" s="25" t="s">
        <v>7</v>
      </c>
      <c r="E11" s="27">
        <f>VLOOKUP(H11,'pipe dimensions'!A1:D21,K11+1)</f>
        <v>32</v>
      </c>
      <c r="F11" s="27" t="s">
        <v>13</v>
      </c>
      <c r="G11" s="28" t="s">
        <v>68</v>
      </c>
      <c r="H11" s="28">
        <v>32</v>
      </c>
      <c r="J11" s="1" t="s">
        <v>72</v>
      </c>
      <c r="K11" s="3">
        <f>Parameters!P10</f>
        <v>0</v>
      </c>
      <c r="L11" s="1" t="s">
        <v>74</v>
      </c>
    </row>
    <row r="12" spans="1:17" x14ac:dyDescent="0.2">
      <c r="A12" s="25" t="s">
        <v>14</v>
      </c>
      <c r="E12" s="3">
        <f>Parameters!P9</f>
        <v>0</v>
      </c>
      <c r="F12" s="27"/>
      <c r="G12" s="28" t="s">
        <v>24</v>
      </c>
      <c r="H12" s="28">
        <v>0.15</v>
      </c>
      <c r="I12" s="1" t="s">
        <v>13</v>
      </c>
      <c r="J12" s="28" t="s">
        <v>25</v>
      </c>
      <c r="K12" s="28">
        <v>0.02</v>
      </c>
      <c r="L12" s="1" t="s">
        <v>13</v>
      </c>
    </row>
    <row r="13" spans="1:17" x14ac:dyDescent="0.2">
      <c r="A13" s="25" t="s">
        <v>8</v>
      </c>
      <c r="E13" s="27">
        <f>IF(E10&gt;0,D51,0)</f>
        <v>0</v>
      </c>
      <c r="F13" s="27"/>
    </row>
    <row r="15" spans="1:17" x14ac:dyDescent="0.2">
      <c r="A15" s="25" t="s">
        <v>1</v>
      </c>
      <c r="H15" s="27"/>
    </row>
    <row r="16" spans="1:17" x14ac:dyDescent="0.2">
      <c r="A16" s="29" t="s">
        <v>3</v>
      </c>
      <c r="D16" s="25" t="s">
        <v>75</v>
      </c>
      <c r="H16" s="30">
        <f>E7/3600/(0.785*(0.001*E11)*(0.001*E11))</f>
        <v>0</v>
      </c>
      <c r="I16" s="27" t="s">
        <v>2</v>
      </c>
    </row>
    <row r="17" spans="1:12" x14ac:dyDescent="0.2">
      <c r="A17" s="29" t="s">
        <v>10</v>
      </c>
      <c r="D17" s="25" t="s">
        <v>76</v>
      </c>
      <c r="H17" s="30">
        <f>H16*0.001*E11/E9*1000000</f>
        <v>0</v>
      </c>
      <c r="I17" s="31">
        <f>H17</f>
        <v>0</v>
      </c>
    </row>
    <row r="18" spans="1:12" x14ac:dyDescent="0.2">
      <c r="A18" s="29" t="s">
        <v>32</v>
      </c>
      <c r="D18" s="25"/>
      <c r="H18" s="32">
        <f>H12/E11</f>
        <v>4.6874999999999998E-3</v>
      </c>
      <c r="I18" s="27"/>
    </row>
    <row r="19" spans="1:12" x14ac:dyDescent="0.2">
      <c r="A19" s="29" t="s">
        <v>26</v>
      </c>
      <c r="D19" s="25"/>
      <c r="H19" s="30">
        <f>H17*H12/E11</f>
        <v>0</v>
      </c>
      <c r="I19" s="27"/>
    </row>
    <row r="20" spans="1:12" x14ac:dyDescent="0.2">
      <c r="A20" s="29"/>
      <c r="D20" s="25"/>
      <c r="H20" s="30"/>
      <c r="I20" s="27"/>
    </row>
    <row r="21" spans="1:12" x14ac:dyDescent="0.2">
      <c r="A21" s="29" t="s">
        <v>78</v>
      </c>
      <c r="D21" s="1" t="s">
        <v>77</v>
      </c>
      <c r="H21" s="32">
        <f>IF((E7&gt;0),64/H17,0)</f>
        <v>0</v>
      </c>
      <c r="I21" s="27"/>
    </row>
    <row r="22" spans="1:12" x14ac:dyDescent="0.2">
      <c r="A22" s="29" t="s">
        <v>80</v>
      </c>
      <c r="D22" s="1" t="s">
        <v>79</v>
      </c>
      <c r="H22" s="32">
        <f>IF((E7&gt;0),(0.0055*(1+(20000*IF(E12&gt;1,K12/1000,H12/1000)/(0.001*E11)+1000000/H17)^0.333333)),0)</f>
        <v>0</v>
      </c>
      <c r="I22" s="27"/>
    </row>
    <row r="23" spans="1:12" x14ac:dyDescent="0.2">
      <c r="A23" s="1" t="s">
        <v>82</v>
      </c>
      <c r="D23" s="1" t="s">
        <v>81</v>
      </c>
      <c r="H23" s="33">
        <f>((IF(H17&gt;2320,H22,H21))*E10/(0.001*E11)+E13)*E8*H16*H16/(2*100000)</f>
        <v>0</v>
      </c>
      <c r="I23" s="27" t="s">
        <v>52</v>
      </c>
      <c r="J23" s="1" t="s">
        <v>19</v>
      </c>
    </row>
    <row r="24" spans="1:12" x14ac:dyDescent="0.2">
      <c r="H24" s="30">
        <f>+H23*100/(9.81)</f>
        <v>0</v>
      </c>
      <c r="I24" s="27" t="s">
        <v>15</v>
      </c>
      <c r="J24" s="1" t="s">
        <v>20</v>
      </c>
    </row>
    <row r="25" spans="1:12" x14ac:dyDescent="0.2">
      <c r="H25" s="27" t="s">
        <v>16</v>
      </c>
      <c r="I25" s="27"/>
    </row>
    <row r="26" spans="1:12" s="24" customFormat="1" hidden="1" x14ac:dyDescent="0.2"/>
    <row r="27" spans="1:12" hidden="1" x14ac:dyDescent="0.2"/>
    <row r="28" spans="1:12" hidden="1" x14ac:dyDescent="0.2">
      <c r="A28" s="1" t="s">
        <v>41</v>
      </c>
      <c r="D28" s="1" t="s">
        <v>18</v>
      </c>
      <c r="H28" s="1" t="s">
        <v>21</v>
      </c>
      <c r="L28" s="1" t="s">
        <v>23</v>
      </c>
    </row>
    <row r="29" spans="1:12" hidden="1" x14ac:dyDescent="0.2">
      <c r="D29" s="34" t="s">
        <v>22</v>
      </c>
      <c r="F29" s="1" t="s">
        <v>42</v>
      </c>
      <c r="H29" s="35" t="s">
        <v>35</v>
      </c>
      <c r="L29" s="36" t="s">
        <v>36</v>
      </c>
    </row>
    <row r="30" spans="1:12" hidden="1" x14ac:dyDescent="0.2">
      <c r="B30" s="1" t="s">
        <v>28</v>
      </c>
    </row>
    <row r="31" spans="1:12" hidden="1" x14ac:dyDescent="0.2">
      <c r="C31" s="1" t="s">
        <v>27</v>
      </c>
      <c r="D31" s="27" t="e">
        <f>0.3164*H17^-0.25</f>
        <v>#DIV/0!</v>
      </c>
      <c r="E31" s="1" t="s">
        <v>39</v>
      </c>
      <c r="F31" s="1" t="s">
        <v>43</v>
      </c>
      <c r="G31" s="1" t="s">
        <v>30</v>
      </c>
      <c r="H31" s="1">
        <f>(1/(2*LOG10((E11/H12))+1.14))^2</f>
        <v>2.974582269086317E-2</v>
      </c>
      <c r="I31" s="1" t="s">
        <v>37</v>
      </c>
      <c r="K31" s="1" t="s">
        <v>34</v>
      </c>
      <c r="L31" s="1" t="e">
        <f>1/(-2*LOG10(H12/(3.72*E11)+2.51/H17*((H17*E11/H12)^0.0625)*(1/0.48)))^2</f>
        <v>#DIV/0!</v>
      </c>
    </row>
    <row r="32" spans="1:12" hidden="1" x14ac:dyDescent="0.2">
      <c r="C32" s="1" t="s">
        <v>29</v>
      </c>
      <c r="D32" s="1" t="e">
        <f>0.0032+0.221*H17^-0.237</f>
        <v>#DIV/0!</v>
      </c>
      <c r="E32" s="1" t="s">
        <v>37</v>
      </c>
      <c r="F32" s="1" t="s">
        <v>44</v>
      </c>
      <c r="G32" s="1" t="s">
        <v>31</v>
      </c>
      <c r="H32" s="1">
        <f>0.0055+0.15*(H12/E11)^(1/3)</f>
        <v>3.0603735628081351E-2</v>
      </c>
      <c r="I32" s="1" t="s">
        <v>38</v>
      </c>
    </row>
    <row r="33" spans="1:12" hidden="1" x14ac:dyDescent="0.2">
      <c r="C33" s="1" t="s">
        <v>33</v>
      </c>
      <c r="D33" s="1" t="e">
        <f>0.0054+0.3964/H17^0.3</f>
        <v>#DIV/0!</v>
      </c>
      <c r="E33" s="1" t="s">
        <v>40</v>
      </c>
      <c r="F33" s="1" t="s">
        <v>45</v>
      </c>
    </row>
    <row r="34" spans="1:12" hidden="1" x14ac:dyDescent="0.2"/>
    <row r="36" spans="1:12" x14ac:dyDescent="0.2">
      <c r="A36" s="25" t="s">
        <v>47</v>
      </c>
      <c r="B36" s="1" t="s">
        <v>49</v>
      </c>
      <c r="C36" s="1" t="s">
        <v>48</v>
      </c>
      <c r="D36" s="1" t="s">
        <v>50</v>
      </c>
      <c r="F36" s="1" t="s">
        <v>58</v>
      </c>
    </row>
    <row r="37" spans="1:12" x14ac:dyDescent="0.2">
      <c r="A37" s="29" t="s">
        <v>53</v>
      </c>
      <c r="B37" s="3">
        <f>Parameters!P11</f>
        <v>0</v>
      </c>
      <c r="C37" s="2">
        <v>5</v>
      </c>
      <c r="D37" s="2">
        <f t="shared" ref="D37:D49" si="0">B37*C37</f>
        <v>0</v>
      </c>
    </row>
    <row r="38" spans="1:12" x14ac:dyDescent="0.2">
      <c r="A38" s="29" t="s">
        <v>54</v>
      </c>
      <c r="B38" s="3">
        <f>Parameters!P12</f>
        <v>0</v>
      </c>
      <c r="C38" s="2">
        <v>0.5</v>
      </c>
      <c r="D38" s="2">
        <f t="shared" si="0"/>
        <v>0</v>
      </c>
      <c r="I38" s="37"/>
    </row>
    <row r="39" spans="1:12" x14ac:dyDescent="0.2">
      <c r="A39" s="29" t="s">
        <v>62</v>
      </c>
      <c r="B39" s="3">
        <f>Parameters!P13</f>
        <v>0</v>
      </c>
      <c r="C39" s="2">
        <v>4</v>
      </c>
      <c r="D39" s="2">
        <f t="shared" si="0"/>
        <v>0</v>
      </c>
      <c r="I39" s="37"/>
    </row>
    <row r="40" spans="1:12" x14ac:dyDescent="0.2">
      <c r="A40" s="1" t="s">
        <v>94</v>
      </c>
      <c r="B40" s="3">
        <f>Parameters!P14</f>
        <v>0</v>
      </c>
      <c r="C40" s="2">
        <v>5</v>
      </c>
      <c r="D40" s="2">
        <f t="shared" si="0"/>
        <v>0</v>
      </c>
      <c r="I40" s="37"/>
    </row>
    <row r="41" spans="1:12" x14ac:dyDescent="0.2">
      <c r="A41" s="40" t="s">
        <v>95</v>
      </c>
      <c r="B41" s="3">
        <f>Parameters!P15</f>
        <v>0</v>
      </c>
      <c r="C41" s="2">
        <v>0.5</v>
      </c>
      <c r="D41" s="2">
        <f t="shared" si="0"/>
        <v>0</v>
      </c>
      <c r="I41" s="37"/>
    </row>
    <row r="42" spans="1:12" x14ac:dyDescent="0.2">
      <c r="A42" s="1" t="s">
        <v>63</v>
      </c>
      <c r="B42" s="3">
        <f>Parameters!P16</f>
        <v>0</v>
      </c>
      <c r="C42" s="2">
        <v>0.5</v>
      </c>
      <c r="D42" s="2">
        <f t="shared" si="0"/>
        <v>0</v>
      </c>
      <c r="L42" s="37"/>
    </row>
    <row r="43" spans="1:12" x14ac:dyDescent="0.2">
      <c r="A43" s="1" t="s">
        <v>64</v>
      </c>
      <c r="B43" s="3">
        <f>Parameters!P17</f>
        <v>0</v>
      </c>
      <c r="C43" s="2">
        <v>1</v>
      </c>
      <c r="D43" s="2">
        <f t="shared" si="0"/>
        <v>0</v>
      </c>
      <c r="L43" s="37"/>
    </row>
    <row r="44" spans="1:12" x14ac:dyDescent="0.2">
      <c r="A44" s="1" t="s">
        <v>51</v>
      </c>
      <c r="B44" s="3">
        <f>Parameters!P18</f>
        <v>0</v>
      </c>
      <c r="C44" s="2">
        <f>IF(H17&gt;2300,0.35,3.5)</f>
        <v>3.5</v>
      </c>
      <c r="D44" s="2">
        <f t="shared" si="0"/>
        <v>0</v>
      </c>
      <c r="F44" s="1" t="s">
        <v>89</v>
      </c>
      <c r="L44" s="37"/>
    </row>
    <row r="45" spans="1:12" x14ac:dyDescent="0.2">
      <c r="A45" s="1" t="s">
        <v>59</v>
      </c>
      <c r="B45" s="3">
        <f>Parameters!P19</f>
        <v>0</v>
      </c>
      <c r="C45" s="2">
        <v>1</v>
      </c>
      <c r="D45" s="2">
        <f t="shared" si="0"/>
        <v>0</v>
      </c>
      <c r="I45" s="37"/>
    </row>
    <row r="46" spans="1:12" x14ac:dyDescent="0.2">
      <c r="A46" s="1" t="s">
        <v>60</v>
      </c>
      <c r="B46" s="3">
        <f>Parameters!P20</f>
        <v>0</v>
      </c>
      <c r="C46" s="2">
        <v>0.1</v>
      </c>
      <c r="D46" s="2">
        <f t="shared" si="0"/>
        <v>0</v>
      </c>
      <c r="I46" s="37"/>
    </row>
    <row r="47" spans="1:12" x14ac:dyDescent="0.2">
      <c r="A47" s="1" t="s">
        <v>56</v>
      </c>
      <c r="B47" s="3">
        <f>Parameters!P21</f>
        <v>0</v>
      </c>
      <c r="C47" s="2">
        <v>1</v>
      </c>
      <c r="D47" s="2">
        <f t="shared" si="0"/>
        <v>0</v>
      </c>
      <c r="I47" s="37"/>
    </row>
    <row r="48" spans="1:12" x14ac:dyDescent="0.2">
      <c r="A48" s="1" t="s">
        <v>57</v>
      </c>
      <c r="B48" s="3">
        <f>Parameters!P22</f>
        <v>0</v>
      </c>
      <c r="C48" s="2">
        <v>6</v>
      </c>
      <c r="D48" s="2">
        <f t="shared" si="0"/>
        <v>0</v>
      </c>
      <c r="I48" s="37"/>
    </row>
    <row r="49" spans="1:9" x14ac:dyDescent="0.2">
      <c r="A49" s="1" t="s">
        <v>61</v>
      </c>
      <c r="B49" s="3">
        <f>Parameters!P23</f>
        <v>0</v>
      </c>
      <c r="C49" s="2">
        <v>0.2</v>
      </c>
      <c r="D49" s="2">
        <f t="shared" si="0"/>
        <v>0</v>
      </c>
      <c r="I49" s="37"/>
    </row>
    <row r="50" spans="1:9" x14ac:dyDescent="0.2">
      <c r="B50" s="38"/>
      <c r="C50" s="2"/>
      <c r="D50" s="2"/>
      <c r="I50" s="37"/>
    </row>
    <row r="51" spans="1:9" x14ac:dyDescent="0.2">
      <c r="A51" s="1" t="s">
        <v>46</v>
      </c>
      <c r="B51" s="2"/>
      <c r="C51" s="2"/>
      <c r="D51" s="2">
        <f>SUM(D37:D50)</f>
        <v>0</v>
      </c>
    </row>
  </sheetData>
  <phoneticPr fontId="4" type="noConversion"/>
  <conditionalFormatting sqref="D28">
    <cfRule type="cellIs" dxfId="35" priority="1" stopIfTrue="1" operator="lessThan">
      <formula>65</formula>
    </cfRule>
  </conditionalFormatting>
  <conditionalFormatting sqref="E7 E12 E10 K11 B37:B49">
    <cfRule type="cellIs" dxfId="34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5">
    <pageSetUpPr fitToPage="1"/>
  </sheetPr>
  <dimension ref="A2:Q51"/>
  <sheetViews>
    <sheetView workbookViewId="0">
      <selection activeCell="E11" sqref="E11"/>
    </sheetView>
  </sheetViews>
  <sheetFormatPr defaultRowHeight="12.75" x14ac:dyDescent="0.2"/>
  <cols>
    <col min="1" max="1" width="12.140625" style="1" customWidth="1"/>
    <col min="2" max="3" width="9.140625" style="1"/>
    <col min="4" max="4" width="12.42578125" style="1" bestFit="1" customWidth="1"/>
    <col min="5" max="5" width="12" style="1" bestFit="1" customWidth="1"/>
    <col min="6" max="6" width="10.7109375" style="1" customWidth="1"/>
    <col min="7" max="7" width="12.42578125" style="1" bestFit="1" customWidth="1"/>
    <col min="8" max="9" width="9.42578125" style="1" customWidth="1"/>
    <col min="10" max="10" width="14.140625" style="1" bestFit="1" customWidth="1"/>
    <col min="11" max="11" width="5" style="1" bestFit="1" customWidth="1"/>
    <col min="12" max="12" width="14.85546875" style="1" bestFit="1" customWidth="1"/>
    <col min="13" max="13" width="3.7109375" style="1" bestFit="1" customWidth="1"/>
    <col min="14" max="14" width="8.85546875" style="1" bestFit="1" customWidth="1"/>
    <col min="15" max="15" width="3.7109375" style="1" bestFit="1" customWidth="1"/>
    <col min="16" max="16" width="7.42578125" style="1" bestFit="1" customWidth="1"/>
    <col min="17" max="17" width="3.7109375" style="1" bestFit="1" customWidth="1"/>
    <col min="18" max="18" width="6.85546875" style="1" bestFit="1" customWidth="1"/>
    <col min="19" max="16384" width="9.140625" style="1"/>
  </cols>
  <sheetData>
    <row r="2" spans="1:17" ht="15.75" x14ac:dyDescent="0.25">
      <c r="A2" s="22" t="s">
        <v>0</v>
      </c>
    </row>
    <row r="6" spans="1:17" x14ac:dyDescent="0.2">
      <c r="A6" s="26" t="s">
        <v>85</v>
      </c>
    </row>
    <row r="7" spans="1:17" x14ac:dyDescent="0.2">
      <c r="A7" s="25" t="s">
        <v>4</v>
      </c>
      <c r="E7" s="3">
        <f>Parameters!Q7</f>
        <v>0</v>
      </c>
      <c r="F7" s="27" t="s">
        <v>86</v>
      </c>
    </row>
    <row r="8" spans="1:17" x14ac:dyDescent="0.2">
      <c r="A8" s="25" t="s">
        <v>5</v>
      </c>
      <c r="E8" s="27">
        <f>total!F18</f>
        <v>1025</v>
      </c>
      <c r="F8" s="27" t="s">
        <v>11</v>
      </c>
      <c r="Q8" s="28"/>
    </row>
    <row r="9" spans="1:17" x14ac:dyDescent="0.2">
      <c r="A9" s="25" t="s">
        <v>9</v>
      </c>
      <c r="E9" s="27">
        <f>total!F17</f>
        <v>1</v>
      </c>
      <c r="F9" s="27" t="s">
        <v>73</v>
      </c>
    </row>
    <row r="10" spans="1:17" x14ac:dyDescent="0.2">
      <c r="A10" s="25" t="s">
        <v>6</v>
      </c>
      <c r="E10" s="3">
        <f>Parameters!Q8</f>
        <v>0</v>
      </c>
      <c r="F10" s="27" t="s">
        <v>12</v>
      </c>
    </row>
    <row r="11" spans="1:17" x14ac:dyDescent="0.2">
      <c r="A11" s="25" t="s">
        <v>7</v>
      </c>
      <c r="E11" s="27">
        <f>VLOOKUP(H11,'pipe dimensions'!A1:D21,K11+1)</f>
        <v>25</v>
      </c>
      <c r="F11" s="27" t="s">
        <v>13</v>
      </c>
      <c r="G11" s="28" t="s">
        <v>68</v>
      </c>
      <c r="H11" s="28">
        <v>25</v>
      </c>
      <c r="J11" s="1" t="s">
        <v>72</v>
      </c>
      <c r="K11" s="3">
        <f>Parameters!Q10</f>
        <v>0</v>
      </c>
      <c r="L11" s="1" t="s">
        <v>74</v>
      </c>
    </row>
    <row r="12" spans="1:17" x14ac:dyDescent="0.2">
      <c r="A12" s="25" t="s">
        <v>14</v>
      </c>
      <c r="E12" s="3">
        <f>Parameters!Q9</f>
        <v>0</v>
      </c>
      <c r="F12" s="27"/>
      <c r="G12" s="28" t="s">
        <v>24</v>
      </c>
      <c r="H12" s="28">
        <v>0.15</v>
      </c>
      <c r="I12" s="1" t="s">
        <v>13</v>
      </c>
      <c r="J12" s="28" t="s">
        <v>25</v>
      </c>
      <c r="K12" s="28">
        <v>0.02</v>
      </c>
      <c r="L12" s="1" t="s">
        <v>13</v>
      </c>
    </row>
    <row r="13" spans="1:17" x14ac:dyDescent="0.2">
      <c r="A13" s="25" t="s">
        <v>8</v>
      </c>
      <c r="E13" s="27">
        <f>IF(E10&gt;0,D51,0)</f>
        <v>0</v>
      </c>
      <c r="F13" s="27"/>
    </row>
    <row r="15" spans="1:17" x14ac:dyDescent="0.2">
      <c r="A15" s="25" t="s">
        <v>1</v>
      </c>
      <c r="H15" s="27"/>
    </row>
    <row r="16" spans="1:17" x14ac:dyDescent="0.2">
      <c r="A16" s="29" t="s">
        <v>3</v>
      </c>
      <c r="D16" s="25" t="s">
        <v>75</v>
      </c>
      <c r="H16" s="30">
        <f>E7/3600/(0.785*(0.001*E11)*(0.001*E11))</f>
        <v>0</v>
      </c>
      <c r="I16" s="27" t="s">
        <v>2</v>
      </c>
    </row>
    <row r="17" spans="1:12" x14ac:dyDescent="0.2">
      <c r="A17" s="29" t="s">
        <v>10</v>
      </c>
      <c r="D17" s="25" t="s">
        <v>76</v>
      </c>
      <c r="H17" s="30">
        <f>H16*0.001*E11/E9*1000000</f>
        <v>0</v>
      </c>
      <c r="I17" s="31">
        <f>H17</f>
        <v>0</v>
      </c>
    </row>
    <row r="18" spans="1:12" x14ac:dyDescent="0.2">
      <c r="A18" s="29" t="s">
        <v>32</v>
      </c>
      <c r="D18" s="25"/>
      <c r="H18" s="32">
        <f>H12/E11</f>
        <v>6.0000000000000001E-3</v>
      </c>
      <c r="I18" s="27"/>
    </row>
    <row r="19" spans="1:12" x14ac:dyDescent="0.2">
      <c r="A19" s="29" t="s">
        <v>26</v>
      </c>
      <c r="D19" s="25"/>
      <c r="H19" s="30">
        <f>H17*H12/E11</f>
        <v>0</v>
      </c>
      <c r="I19" s="27"/>
    </row>
    <row r="20" spans="1:12" x14ac:dyDescent="0.2">
      <c r="A20" s="29"/>
      <c r="D20" s="25"/>
      <c r="H20" s="30"/>
      <c r="I20" s="27"/>
    </row>
    <row r="21" spans="1:12" x14ac:dyDescent="0.2">
      <c r="A21" s="29" t="s">
        <v>78</v>
      </c>
      <c r="D21" s="1" t="s">
        <v>77</v>
      </c>
      <c r="H21" s="32">
        <f>IF((E7&gt;0),64/H17,0)</f>
        <v>0</v>
      </c>
      <c r="I21" s="27"/>
    </row>
    <row r="22" spans="1:12" x14ac:dyDescent="0.2">
      <c r="A22" s="29" t="s">
        <v>80</v>
      </c>
      <c r="D22" s="1" t="s">
        <v>79</v>
      </c>
      <c r="H22" s="32">
        <f>IF((E7&gt;0),(0.0055*(1+(20000*IF(E12&gt;1,K12/1000,H12/1000)/(0.001*E11)+1000000/H17)^0.333333)),0)</f>
        <v>0</v>
      </c>
      <c r="I22" s="27"/>
    </row>
    <row r="23" spans="1:12" x14ac:dyDescent="0.2">
      <c r="A23" s="1" t="s">
        <v>82</v>
      </c>
      <c r="D23" s="1" t="s">
        <v>81</v>
      </c>
      <c r="H23" s="33">
        <f>((IF(H17&gt;2320,H22,H21))*E10/(0.001*E11)+E13)*E8*H16*H16/(2*100000)</f>
        <v>0</v>
      </c>
      <c r="I23" s="27" t="s">
        <v>52</v>
      </c>
      <c r="J23" s="1" t="s">
        <v>19</v>
      </c>
    </row>
    <row r="24" spans="1:12" x14ac:dyDescent="0.2">
      <c r="H24" s="30">
        <f>+H23*100/(9.81)</f>
        <v>0</v>
      </c>
      <c r="I24" s="27" t="s">
        <v>15</v>
      </c>
      <c r="J24" s="1" t="s">
        <v>20</v>
      </c>
    </row>
    <row r="25" spans="1:12" x14ac:dyDescent="0.2">
      <c r="H25" s="27" t="s">
        <v>16</v>
      </c>
      <c r="I25" s="27"/>
    </row>
    <row r="26" spans="1:12" s="24" customFormat="1" hidden="1" x14ac:dyDescent="0.2"/>
    <row r="27" spans="1:12" hidden="1" x14ac:dyDescent="0.2"/>
    <row r="28" spans="1:12" hidden="1" x14ac:dyDescent="0.2">
      <c r="A28" s="1" t="s">
        <v>41</v>
      </c>
      <c r="D28" s="1" t="s">
        <v>18</v>
      </c>
      <c r="H28" s="1" t="s">
        <v>21</v>
      </c>
      <c r="L28" s="1" t="s">
        <v>23</v>
      </c>
    </row>
    <row r="29" spans="1:12" hidden="1" x14ac:dyDescent="0.2">
      <c r="D29" s="34" t="s">
        <v>22</v>
      </c>
      <c r="F29" s="1" t="s">
        <v>42</v>
      </c>
      <c r="H29" s="35" t="s">
        <v>35</v>
      </c>
      <c r="L29" s="36" t="s">
        <v>36</v>
      </c>
    </row>
    <row r="30" spans="1:12" hidden="1" x14ac:dyDescent="0.2">
      <c r="B30" s="1" t="s">
        <v>28</v>
      </c>
    </row>
    <row r="31" spans="1:12" hidden="1" x14ac:dyDescent="0.2">
      <c r="C31" s="1" t="s">
        <v>27</v>
      </c>
      <c r="D31" s="27" t="e">
        <f>0.3164*H17^-0.25</f>
        <v>#DIV/0!</v>
      </c>
      <c r="E31" s="1" t="s">
        <v>39</v>
      </c>
      <c r="F31" s="1" t="s">
        <v>43</v>
      </c>
      <c r="G31" s="1" t="s">
        <v>30</v>
      </c>
      <c r="H31" s="1">
        <f>(1/(2*LOG10((E11/H12))+1.14))^2</f>
        <v>3.2074229761549021E-2</v>
      </c>
      <c r="I31" s="1" t="s">
        <v>37</v>
      </c>
      <c r="K31" s="1" t="s">
        <v>34</v>
      </c>
      <c r="L31" s="1" t="e">
        <f>1/(-2*LOG10(H12/(3.72*E11)+2.51/H17*((H17*E11/H12)^0.0625)*(1/0.48)))^2</f>
        <v>#DIV/0!</v>
      </c>
    </row>
    <row r="32" spans="1:12" hidden="1" x14ac:dyDescent="0.2">
      <c r="C32" s="1" t="s">
        <v>29</v>
      </c>
      <c r="D32" s="1" t="e">
        <f>0.0032+0.221*H17^-0.237</f>
        <v>#DIV/0!</v>
      </c>
      <c r="E32" s="1" t="s">
        <v>37</v>
      </c>
      <c r="F32" s="1" t="s">
        <v>44</v>
      </c>
      <c r="G32" s="1" t="s">
        <v>31</v>
      </c>
      <c r="H32" s="1">
        <f>0.0055+0.15*(H12/E11)^(1/3)</f>
        <v>3.27568088924821E-2</v>
      </c>
      <c r="I32" s="1" t="s">
        <v>38</v>
      </c>
    </row>
    <row r="33" spans="1:12" hidden="1" x14ac:dyDescent="0.2">
      <c r="C33" s="1" t="s">
        <v>33</v>
      </c>
      <c r="D33" s="1" t="e">
        <f>0.0054+0.3964/H17^0.3</f>
        <v>#DIV/0!</v>
      </c>
      <c r="E33" s="1" t="s">
        <v>40</v>
      </c>
      <c r="F33" s="1" t="s">
        <v>45</v>
      </c>
    </row>
    <row r="34" spans="1:12" hidden="1" x14ac:dyDescent="0.2"/>
    <row r="36" spans="1:12" x14ac:dyDescent="0.2">
      <c r="A36" s="25" t="s">
        <v>47</v>
      </c>
      <c r="B36" s="1" t="s">
        <v>49</v>
      </c>
      <c r="C36" s="1" t="s">
        <v>48</v>
      </c>
      <c r="D36" s="1" t="s">
        <v>50</v>
      </c>
      <c r="F36" s="1" t="s">
        <v>58</v>
      </c>
    </row>
    <row r="37" spans="1:12" x14ac:dyDescent="0.2">
      <c r="A37" s="29" t="s">
        <v>53</v>
      </c>
      <c r="B37" s="3">
        <f>Parameters!Q11</f>
        <v>0</v>
      </c>
      <c r="C37" s="2">
        <v>5</v>
      </c>
      <c r="D37" s="2">
        <f t="shared" ref="D37:D49" si="0">B37*C37</f>
        <v>0</v>
      </c>
    </row>
    <row r="38" spans="1:12" x14ac:dyDescent="0.2">
      <c r="A38" s="29" t="s">
        <v>54</v>
      </c>
      <c r="B38" s="3">
        <f>Parameters!Q12</f>
        <v>0</v>
      </c>
      <c r="C38" s="2">
        <v>0.5</v>
      </c>
      <c r="D38" s="2">
        <f t="shared" si="0"/>
        <v>0</v>
      </c>
      <c r="I38" s="37"/>
    </row>
    <row r="39" spans="1:12" x14ac:dyDescent="0.2">
      <c r="A39" s="29" t="s">
        <v>62</v>
      </c>
      <c r="B39" s="3">
        <f>Parameters!Q13</f>
        <v>0</v>
      </c>
      <c r="C39" s="2">
        <v>4</v>
      </c>
      <c r="D39" s="2">
        <f t="shared" si="0"/>
        <v>0</v>
      </c>
      <c r="I39" s="37"/>
    </row>
    <row r="40" spans="1:12" x14ac:dyDescent="0.2">
      <c r="A40" s="1" t="s">
        <v>94</v>
      </c>
      <c r="B40" s="3">
        <f>Parameters!Q14</f>
        <v>0</v>
      </c>
      <c r="C40" s="2">
        <v>5</v>
      </c>
      <c r="D40" s="2">
        <f t="shared" si="0"/>
        <v>0</v>
      </c>
      <c r="I40" s="37"/>
    </row>
    <row r="41" spans="1:12" x14ac:dyDescent="0.2">
      <c r="A41" s="40" t="s">
        <v>95</v>
      </c>
      <c r="B41" s="3">
        <f>Parameters!Q15</f>
        <v>0</v>
      </c>
      <c r="C41" s="2">
        <v>0.5</v>
      </c>
      <c r="D41" s="2">
        <f t="shared" si="0"/>
        <v>0</v>
      </c>
      <c r="I41" s="37"/>
    </row>
    <row r="42" spans="1:12" x14ac:dyDescent="0.2">
      <c r="A42" s="1" t="s">
        <v>63</v>
      </c>
      <c r="B42" s="3">
        <f>Parameters!Q16</f>
        <v>0</v>
      </c>
      <c r="C42" s="2">
        <v>0.5</v>
      </c>
      <c r="D42" s="2">
        <f t="shared" si="0"/>
        <v>0</v>
      </c>
      <c r="L42" s="37"/>
    </row>
    <row r="43" spans="1:12" x14ac:dyDescent="0.2">
      <c r="A43" s="1" t="s">
        <v>64</v>
      </c>
      <c r="B43" s="3">
        <f>Parameters!Q17</f>
        <v>0</v>
      </c>
      <c r="C43" s="2">
        <v>1</v>
      </c>
      <c r="D43" s="2">
        <f t="shared" si="0"/>
        <v>0</v>
      </c>
      <c r="L43" s="37"/>
    </row>
    <row r="44" spans="1:12" x14ac:dyDescent="0.2">
      <c r="A44" s="1" t="s">
        <v>51</v>
      </c>
      <c r="B44" s="3">
        <f>Parameters!Q18</f>
        <v>0</v>
      </c>
      <c r="C44" s="2">
        <f>IF(H17&gt;2300,0.35,3.5)</f>
        <v>3.5</v>
      </c>
      <c r="D44" s="2">
        <f t="shared" si="0"/>
        <v>0</v>
      </c>
      <c r="F44" s="1" t="s">
        <v>89</v>
      </c>
      <c r="L44" s="37"/>
    </row>
    <row r="45" spans="1:12" x14ac:dyDescent="0.2">
      <c r="A45" s="1" t="s">
        <v>59</v>
      </c>
      <c r="B45" s="3">
        <f>Parameters!Q19</f>
        <v>0</v>
      </c>
      <c r="C45" s="2">
        <v>1</v>
      </c>
      <c r="D45" s="2">
        <f t="shared" si="0"/>
        <v>0</v>
      </c>
      <c r="I45" s="37"/>
    </row>
    <row r="46" spans="1:12" x14ac:dyDescent="0.2">
      <c r="A46" s="1" t="s">
        <v>60</v>
      </c>
      <c r="B46" s="3">
        <f>Parameters!Q20</f>
        <v>0</v>
      </c>
      <c r="C46" s="2">
        <v>0.1</v>
      </c>
      <c r="D46" s="2">
        <f t="shared" si="0"/>
        <v>0</v>
      </c>
      <c r="I46" s="37"/>
    </row>
    <row r="47" spans="1:12" x14ac:dyDescent="0.2">
      <c r="A47" s="1" t="s">
        <v>56</v>
      </c>
      <c r="B47" s="3">
        <f>Parameters!Q21</f>
        <v>0</v>
      </c>
      <c r="C47" s="2">
        <v>1</v>
      </c>
      <c r="D47" s="2">
        <f t="shared" si="0"/>
        <v>0</v>
      </c>
      <c r="I47" s="37"/>
    </row>
    <row r="48" spans="1:12" x14ac:dyDescent="0.2">
      <c r="A48" s="1" t="s">
        <v>57</v>
      </c>
      <c r="B48" s="3">
        <f>Parameters!Q22</f>
        <v>0</v>
      </c>
      <c r="C48" s="2">
        <v>6</v>
      </c>
      <c r="D48" s="2">
        <f t="shared" si="0"/>
        <v>0</v>
      </c>
      <c r="I48" s="37"/>
    </row>
    <row r="49" spans="1:9" x14ac:dyDescent="0.2">
      <c r="A49" s="1" t="s">
        <v>61</v>
      </c>
      <c r="B49" s="3">
        <f>Parameters!Q23</f>
        <v>0</v>
      </c>
      <c r="C49" s="2">
        <v>0.2</v>
      </c>
      <c r="D49" s="2">
        <f t="shared" si="0"/>
        <v>0</v>
      </c>
      <c r="I49" s="37"/>
    </row>
    <row r="50" spans="1:9" x14ac:dyDescent="0.2">
      <c r="B50" s="38"/>
      <c r="C50" s="2"/>
      <c r="D50" s="2"/>
      <c r="I50" s="37"/>
    </row>
    <row r="51" spans="1:9" x14ac:dyDescent="0.2">
      <c r="A51" s="1" t="s">
        <v>46</v>
      </c>
      <c r="B51" s="2"/>
      <c r="C51" s="2"/>
      <c r="D51" s="2">
        <f>SUM(D37:D50)</f>
        <v>0</v>
      </c>
    </row>
  </sheetData>
  <phoneticPr fontId="4" type="noConversion"/>
  <conditionalFormatting sqref="D28">
    <cfRule type="cellIs" dxfId="33" priority="1" stopIfTrue="1" operator="lessThan">
      <formula>65</formula>
    </cfRule>
  </conditionalFormatting>
  <conditionalFormatting sqref="E7 E12 E10 K11 B37:B49">
    <cfRule type="cellIs" dxfId="32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Q55"/>
  <sheetViews>
    <sheetView topLeftCell="A13" zoomScaleNormal="100" workbookViewId="0">
      <selection activeCell="K36" sqref="K36"/>
    </sheetView>
  </sheetViews>
  <sheetFormatPr defaultRowHeight="12.75" x14ac:dyDescent="0.2"/>
  <cols>
    <col min="1" max="1" width="18" style="1" customWidth="1"/>
    <col min="2" max="4" width="9.140625" style="1"/>
    <col min="5" max="5" width="11.85546875" style="1" customWidth="1"/>
    <col min="6" max="8" width="9.140625" style="1"/>
    <col min="9" max="9" width="11" style="1" bestFit="1" customWidth="1"/>
    <col min="10" max="16384" width="9.140625" style="1"/>
  </cols>
  <sheetData>
    <row r="1" spans="1:17" s="4" customFormat="1" ht="15.75" x14ac:dyDescent="0.25">
      <c r="C1" s="5"/>
      <c r="F1" s="48" t="s">
        <v>93</v>
      </c>
      <c r="H1" s="5"/>
      <c r="I1" s="5"/>
      <c r="J1" s="6"/>
      <c r="K1" s="7"/>
      <c r="L1" s="6"/>
      <c r="M1" s="6"/>
      <c r="N1" s="6"/>
      <c r="O1" s="6"/>
      <c r="P1" s="6"/>
      <c r="Q1" s="8"/>
    </row>
    <row r="2" spans="1:17" s="4" customFormat="1" ht="15.75" x14ac:dyDescent="0.25">
      <c r="A2" s="9"/>
      <c r="B2" s="10"/>
      <c r="C2" s="11"/>
      <c r="D2" s="12"/>
      <c r="E2" s="5"/>
      <c r="G2" s="5"/>
      <c r="H2" s="5"/>
      <c r="I2" s="5"/>
      <c r="J2" s="13"/>
      <c r="K2" s="14"/>
      <c r="L2" s="15"/>
      <c r="M2" s="15"/>
      <c r="N2" s="15"/>
      <c r="O2" s="15"/>
      <c r="P2" s="15"/>
      <c r="Q2" s="15"/>
    </row>
    <row r="3" spans="1:17" s="4" customFormat="1" x14ac:dyDescent="0.2">
      <c r="B3" s="10"/>
      <c r="C3" s="5"/>
      <c r="D3" s="12"/>
      <c r="E3" s="5"/>
      <c r="G3" s="5"/>
      <c r="H3" s="5"/>
      <c r="I3" s="5"/>
      <c r="J3" s="13"/>
      <c r="K3" s="14"/>
      <c r="L3" s="15"/>
      <c r="M3" s="16"/>
      <c r="N3" s="15"/>
      <c r="O3" s="16"/>
      <c r="P3" s="16"/>
      <c r="Q3" s="17"/>
    </row>
    <row r="4" spans="1:17" s="4" customFormat="1" x14ac:dyDescent="0.2">
      <c r="B4" s="10"/>
      <c r="C4" s="5"/>
      <c r="D4" s="5"/>
      <c r="E4" s="5"/>
      <c r="F4" s="5"/>
      <c r="G4" s="5"/>
      <c r="H4" s="5"/>
      <c r="I4" s="18"/>
      <c r="J4" s="19"/>
      <c r="K4" s="20"/>
      <c r="L4" s="21"/>
      <c r="M4" s="6"/>
      <c r="N4" s="21"/>
      <c r="O4" s="6"/>
      <c r="P4" s="6"/>
      <c r="Q4" s="8"/>
    </row>
    <row r="5" spans="1:17" s="4" customFormat="1" ht="13.5" thickBot="1" x14ac:dyDescent="0.25">
      <c r="B5" s="10"/>
      <c r="C5" s="5"/>
      <c r="D5" s="5"/>
      <c r="E5" s="5"/>
      <c r="F5" s="5"/>
      <c r="G5" s="5"/>
      <c r="H5" s="5"/>
      <c r="I5" s="18"/>
      <c r="J5" s="19"/>
      <c r="K5" s="20"/>
      <c r="L5" s="21"/>
      <c r="M5" s="6"/>
      <c r="N5" s="21"/>
      <c r="O5" s="6"/>
      <c r="P5" s="6"/>
      <c r="Q5" s="8"/>
    </row>
    <row r="6" spans="1:17" ht="16.5" thickTop="1" x14ac:dyDescent="0.2">
      <c r="A6" s="99" t="s">
        <v>98</v>
      </c>
      <c r="B6" s="99"/>
      <c r="C6" s="99"/>
      <c r="D6" s="99"/>
      <c r="E6" s="41"/>
      <c r="F6" s="41"/>
      <c r="G6" s="41"/>
      <c r="H6" s="41"/>
      <c r="I6" s="41"/>
    </row>
    <row r="7" spans="1:17" x14ac:dyDescent="0.2">
      <c r="A7" s="100" t="s">
        <v>106</v>
      </c>
      <c r="B7" s="101"/>
      <c r="C7" s="42"/>
      <c r="D7" s="43"/>
      <c r="E7" s="42"/>
      <c r="F7" s="42"/>
      <c r="G7" s="42"/>
      <c r="H7" s="42"/>
      <c r="I7" s="44"/>
    </row>
    <row r="8" spans="1:17" x14ac:dyDescent="0.2">
      <c r="A8" s="102"/>
      <c r="B8" s="101"/>
      <c r="C8" s="42"/>
      <c r="D8" s="43"/>
      <c r="E8" s="42"/>
      <c r="F8" s="42"/>
      <c r="G8" s="42"/>
      <c r="H8" s="42"/>
      <c r="I8" s="44"/>
    </row>
    <row r="9" spans="1:17" x14ac:dyDescent="0.2">
      <c r="A9" s="102"/>
      <c r="B9" s="101"/>
      <c r="C9" s="42"/>
      <c r="D9" s="43"/>
      <c r="E9" s="42"/>
      <c r="F9" s="45"/>
      <c r="G9" s="42"/>
      <c r="H9" s="42"/>
      <c r="I9" s="42"/>
    </row>
    <row r="10" spans="1:17" x14ac:dyDescent="0.2">
      <c r="A10" s="102"/>
      <c r="B10" s="101"/>
      <c r="C10" s="42"/>
      <c r="D10" s="42"/>
      <c r="E10" s="42"/>
      <c r="F10" s="45"/>
      <c r="G10" s="42"/>
      <c r="H10" s="42"/>
      <c r="I10" s="42"/>
    </row>
    <row r="11" spans="1:17" ht="13.5" thickBot="1" x14ac:dyDescent="0.25">
      <c r="A11" s="103"/>
      <c r="B11" s="103"/>
      <c r="C11" s="46"/>
      <c r="D11" s="46"/>
      <c r="E11" s="46"/>
      <c r="F11" s="47"/>
      <c r="G11" s="46"/>
      <c r="H11" s="46"/>
      <c r="I11" s="46"/>
    </row>
    <row r="12" spans="1:17" ht="13.5" thickTop="1" x14ac:dyDescent="0.2"/>
    <row r="13" spans="1:17" x14ac:dyDescent="0.2">
      <c r="A13" s="39"/>
      <c r="B13" s="23"/>
      <c r="C13" s="23"/>
      <c r="D13" s="23"/>
    </row>
    <row r="14" spans="1:17" x14ac:dyDescent="0.2">
      <c r="A14" s="39" t="s">
        <v>87</v>
      </c>
      <c r="B14" s="23"/>
      <c r="C14" s="23"/>
    </row>
    <row r="15" spans="1:17" x14ac:dyDescent="0.2">
      <c r="A15" s="23"/>
      <c r="B15" s="23"/>
      <c r="C15" s="23"/>
    </row>
    <row r="16" spans="1:17" x14ac:dyDescent="0.2">
      <c r="A16" s="26" t="s">
        <v>85</v>
      </c>
    </row>
    <row r="17" spans="1:11" x14ac:dyDescent="0.2">
      <c r="A17" s="1" t="s">
        <v>83</v>
      </c>
      <c r="D17" s="1" t="s">
        <v>66</v>
      </c>
      <c r="F17" s="3">
        <v>1</v>
      </c>
      <c r="H17" s="1" t="s">
        <v>17</v>
      </c>
    </row>
    <row r="18" spans="1:11" x14ac:dyDescent="0.2">
      <c r="A18" s="1" t="s">
        <v>84</v>
      </c>
      <c r="D18" s="1" t="s">
        <v>67</v>
      </c>
      <c r="F18" s="3">
        <v>1025</v>
      </c>
      <c r="H18" s="1" t="s">
        <v>11</v>
      </c>
    </row>
    <row r="20" spans="1:11" ht="13.5" thickBot="1" x14ac:dyDescent="0.25"/>
    <row r="21" spans="1:11" ht="13.5" thickBot="1" x14ac:dyDescent="0.25">
      <c r="A21" s="104" t="s">
        <v>110</v>
      </c>
      <c r="B21" s="105"/>
      <c r="C21" s="105"/>
      <c r="D21" s="105"/>
      <c r="E21" s="105"/>
      <c r="F21" s="105"/>
      <c r="G21" s="105"/>
      <c r="H21" s="105"/>
      <c r="I21" s="106"/>
    </row>
    <row r="22" spans="1:11" x14ac:dyDescent="0.2">
      <c r="A22" s="81"/>
      <c r="B22" s="82"/>
      <c r="C22" s="82"/>
      <c r="D22" s="82"/>
      <c r="E22" s="82"/>
      <c r="F22" s="82"/>
      <c r="G22" s="82"/>
      <c r="H22" s="82"/>
      <c r="I22" s="83"/>
    </row>
    <row r="23" spans="1:11" x14ac:dyDescent="0.2">
      <c r="D23" s="84" t="s">
        <v>101</v>
      </c>
      <c r="E23" s="23"/>
      <c r="F23" s="94">
        <v>1.5</v>
      </c>
      <c r="H23" s="84" t="s">
        <v>12</v>
      </c>
      <c r="I23" s="85"/>
      <c r="K23" s="1" t="s">
        <v>113</v>
      </c>
    </row>
    <row r="24" spans="1:11" x14ac:dyDescent="0.2">
      <c r="D24" s="84" t="s">
        <v>125</v>
      </c>
      <c r="E24" s="23"/>
      <c r="F24" s="94">
        <v>4.9000000000000004</v>
      </c>
      <c r="H24" s="84" t="s">
        <v>12</v>
      </c>
      <c r="I24" s="85"/>
      <c r="K24" s="1" t="s">
        <v>126</v>
      </c>
    </row>
    <row r="25" spans="1:11" x14ac:dyDescent="0.2">
      <c r="C25" s="84"/>
      <c r="D25" s="23"/>
      <c r="E25" s="86"/>
      <c r="F25" s="95"/>
      <c r="G25" s="84"/>
      <c r="I25" s="85"/>
    </row>
    <row r="26" spans="1:11" x14ac:dyDescent="0.2">
      <c r="A26" s="87"/>
      <c r="B26" s="23"/>
      <c r="C26" s="23"/>
      <c r="D26" s="23" t="s">
        <v>55</v>
      </c>
      <c r="E26" s="23"/>
      <c r="F26" s="95">
        <f>'DN500 S'!H23+'DN450 S'!H23+'DN400 S'!H23+'DN350 S'!H23+'DN300 S'!H23+'DN250 S'!H23+'DN200 S'!H23+'DN150 S'!H23+'DN125 S'!H23+'DN100 S'!H23+'DN80 S'!H23+'DN65 S'!H23+'DN50 S'!H23+'DN40 S'!H23+'DN32 S'!H23+'DN25 S'!H23</f>
        <v>0</v>
      </c>
      <c r="G26" s="23"/>
      <c r="H26" s="23" t="s">
        <v>52</v>
      </c>
      <c r="I26" s="85"/>
      <c r="K26" s="1" t="s">
        <v>112</v>
      </c>
    </row>
    <row r="27" spans="1:11" x14ac:dyDescent="0.2">
      <c r="A27" s="87"/>
      <c r="B27" s="23"/>
      <c r="C27" s="23"/>
      <c r="D27" s="23"/>
      <c r="E27" s="23"/>
      <c r="F27" s="93"/>
      <c r="G27" s="23"/>
      <c r="H27" s="23"/>
      <c r="I27" s="85"/>
    </row>
    <row r="28" spans="1:11" x14ac:dyDescent="0.2">
      <c r="A28" s="87" t="s">
        <v>88</v>
      </c>
      <c r="B28" s="23"/>
      <c r="C28" s="23"/>
      <c r="D28" s="23" t="s">
        <v>99</v>
      </c>
      <c r="E28" s="23"/>
      <c r="F28" s="96">
        <v>0</v>
      </c>
      <c r="G28" s="23"/>
      <c r="H28" s="23" t="s">
        <v>52</v>
      </c>
      <c r="I28" s="85"/>
    </row>
    <row r="29" spans="1:11" x14ac:dyDescent="0.2">
      <c r="A29" s="87"/>
      <c r="B29" s="23"/>
      <c r="C29" s="23"/>
      <c r="D29" s="23" t="s">
        <v>99</v>
      </c>
      <c r="E29" s="23"/>
      <c r="F29" s="96">
        <v>0</v>
      </c>
      <c r="G29" s="23"/>
      <c r="H29" s="23" t="s">
        <v>52</v>
      </c>
      <c r="I29" s="85"/>
    </row>
    <row r="30" spans="1:11" x14ac:dyDescent="0.2">
      <c r="A30" s="87"/>
      <c r="B30" s="23"/>
      <c r="C30" s="23"/>
      <c r="D30" s="23" t="s">
        <v>99</v>
      </c>
      <c r="E30" s="23"/>
      <c r="F30" s="96">
        <v>0</v>
      </c>
      <c r="G30" s="23"/>
      <c r="H30" s="23" t="s">
        <v>52</v>
      </c>
      <c r="I30" s="85"/>
    </row>
    <row r="31" spans="1:11" x14ac:dyDescent="0.2">
      <c r="F31" s="95"/>
      <c r="I31" s="85"/>
    </row>
    <row r="32" spans="1:11" x14ac:dyDescent="0.2">
      <c r="A32" s="87" t="s">
        <v>65</v>
      </c>
      <c r="B32" s="23"/>
      <c r="C32" s="23"/>
      <c r="D32" s="23" t="s">
        <v>97</v>
      </c>
      <c r="E32" s="23"/>
      <c r="F32" s="97">
        <f>SUM(F26:F30)*100000/(9.81*$F$18)</f>
        <v>0</v>
      </c>
      <c r="G32" s="23"/>
      <c r="H32" s="88" t="s">
        <v>103</v>
      </c>
      <c r="I32" s="85"/>
      <c r="K32" s="1" t="s">
        <v>114</v>
      </c>
    </row>
    <row r="33" spans="1:11" x14ac:dyDescent="0.2">
      <c r="A33" s="87"/>
      <c r="B33" s="23"/>
      <c r="C33" s="23"/>
      <c r="D33" s="23"/>
      <c r="E33" s="23"/>
      <c r="F33" s="93"/>
      <c r="G33" s="23"/>
      <c r="H33" s="23"/>
      <c r="I33" s="85"/>
    </row>
    <row r="34" spans="1:11" x14ac:dyDescent="0.2">
      <c r="A34" s="87" t="s">
        <v>92</v>
      </c>
      <c r="B34" s="88" t="s">
        <v>102</v>
      </c>
      <c r="C34" s="23"/>
      <c r="D34" s="23"/>
      <c r="E34" s="23"/>
      <c r="F34" s="93">
        <f>F35+F36-F37-F32</f>
        <v>12.976825538897591</v>
      </c>
      <c r="G34" s="23"/>
      <c r="H34" s="88" t="s">
        <v>103</v>
      </c>
      <c r="I34" s="85"/>
      <c r="K34" s="1" t="s">
        <v>115</v>
      </c>
    </row>
    <row r="35" spans="1:11" x14ac:dyDescent="0.2">
      <c r="A35" s="87"/>
      <c r="B35" s="23" t="s">
        <v>91</v>
      </c>
      <c r="C35" s="23"/>
      <c r="D35" s="23"/>
      <c r="E35" s="23"/>
      <c r="F35" s="93">
        <f>101325/(9.81*F18)</f>
        <v>10.076825538897591</v>
      </c>
      <c r="G35" s="23"/>
      <c r="H35" s="88" t="s">
        <v>103</v>
      </c>
      <c r="I35" s="85"/>
      <c r="K35" s="1" t="s">
        <v>127</v>
      </c>
    </row>
    <row r="36" spans="1:11" x14ac:dyDescent="0.2">
      <c r="A36" s="87"/>
      <c r="B36" s="88" t="s">
        <v>104</v>
      </c>
      <c r="C36" s="23"/>
      <c r="D36" s="23"/>
      <c r="E36" s="23"/>
      <c r="F36" s="93">
        <f>F24-F23</f>
        <v>3.4000000000000004</v>
      </c>
      <c r="G36" s="23"/>
      <c r="H36" s="88" t="s">
        <v>103</v>
      </c>
      <c r="I36" s="85"/>
      <c r="K36" s="1" t="s">
        <v>120</v>
      </c>
    </row>
    <row r="37" spans="1:11" x14ac:dyDescent="0.2">
      <c r="A37" s="87"/>
      <c r="B37" s="23" t="s">
        <v>90</v>
      </c>
      <c r="C37" s="23"/>
      <c r="D37" s="23"/>
      <c r="E37" s="23"/>
      <c r="F37" s="94">
        <v>0.5</v>
      </c>
      <c r="G37" s="23"/>
      <c r="H37" s="88" t="s">
        <v>103</v>
      </c>
      <c r="I37" s="85" t="s">
        <v>96</v>
      </c>
      <c r="K37" s="1" t="s">
        <v>119</v>
      </c>
    </row>
    <row r="38" spans="1:11" x14ac:dyDescent="0.2">
      <c r="A38" s="87"/>
      <c r="B38" s="84" t="s">
        <v>105</v>
      </c>
      <c r="C38" s="23"/>
      <c r="D38" s="23"/>
      <c r="E38" s="23"/>
      <c r="F38" s="93">
        <v>3</v>
      </c>
      <c r="G38" s="23"/>
      <c r="H38" s="88" t="s">
        <v>103</v>
      </c>
      <c r="I38" s="85"/>
    </row>
    <row r="39" spans="1:11" x14ac:dyDescent="0.2">
      <c r="A39" s="87"/>
      <c r="B39" s="88" t="s">
        <v>107</v>
      </c>
      <c r="C39" s="23"/>
      <c r="D39" s="23"/>
      <c r="E39" s="23"/>
      <c r="F39" s="98">
        <f>F34-F38</f>
        <v>9.9768255388975913</v>
      </c>
      <c r="G39" s="23"/>
      <c r="H39" s="88" t="s">
        <v>103</v>
      </c>
      <c r="I39" s="85"/>
      <c r="K39" s="1" t="s">
        <v>116</v>
      </c>
    </row>
    <row r="40" spans="1:11" ht="13.5" thickBot="1" x14ac:dyDescent="0.25">
      <c r="A40" s="89"/>
      <c r="B40" s="90"/>
      <c r="C40" s="90"/>
      <c r="D40" s="90"/>
      <c r="E40" s="90"/>
      <c r="F40" s="90"/>
      <c r="G40" s="90"/>
      <c r="H40" s="90"/>
      <c r="I40" s="91"/>
    </row>
    <row r="41" spans="1:11" ht="13.5" thickBot="1" x14ac:dyDescent="0.25"/>
    <row r="42" spans="1:11" ht="13.5" thickBot="1" x14ac:dyDescent="0.25">
      <c r="A42" s="104" t="s">
        <v>111</v>
      </c>
      <c r="B42" s="105"/>
      <c r="C42" s="105"/>
      <c r="D42" s="105"/>
      <c r="E42" s="105"/>
      <c r="F42" s="105"/>
      <c r="G42" s="105"/>
      <c r="H42" s="105"/>
      <c r="I42" s="106"/>
    </row>
    <row r="43" spans="1:11" x14ac:dyDescent="0.2">
      <c r="A43" s="87"/>
      <c r="B43" s="23"/>
      <c r="C43" s="23"/>
      <c r="D43" s="23"/>
      <c r="E43" s="23"/>
      <c r="F43" s="23"/>
      <c r="G43" s="23"/>
      <c r="H43" s="23"/>
      <c r="I43" s="85"/>
    </row>
    <row r="44" spans="1:11" x14ac:dyDescent="0.2">
      <c r="A44" s="87"/>
      <c r="B44" s="23"/>
      <c r="C44" s="23"/>
      <c r="D44" s="23" t="s">
        <v>55</v>
      </c>
      <c r="E44" s="23"/>
      <c r="F44" s="95">
        <f>'DN500 P'!H23+'DN450 P'!H23+'DN400 P'!H23+'DN350 P'!H23+'DN300 P'!H23+'DN250 P'!H23+'DN200 P'!H23+'DN150 P'!H23+'DN125 P'!H23+'DN100 P'!H23+'DN80 P'!H23+'DN65 P'!H23+'DN50 P'!H23+'DN40 P'!H23+'DN32 P'!H23+'DN25 P'!H23</f>
        <v>0</v>
      </c>
      <c r="G44" s="23"/>
      <c r="H44" s="23" t="s">
        <v>52</v>
      </c>
      <c r="I44" s="85"/>
    </row>
    <row r="45" spans="1:11" x14ac:dyDescent="0.2">
      <c r="A45" s="87"/>
      <c r="B45" s="23"/>
      <c r="C45" s="23"/>
      <c r="D45" s="23"/>
      <c r="E45" s="23"/>
      <c r="F45" s="93"/>
      <c r="G45" s="23"/>
      <c r="H45" s="23"/>
      <c r="I45" s="85"/>
    </row>
    <row r="46" spans="1:11" x14ac:dyDescent="0.2">
      <c r="A46" s="87" t="s">
        <v>88</v>
      </c>
      <c r="B46" s="23"/>
      <c r="C46" s="23"/>
      <c r="D46" s="23" t="s">
        <v>99</v>
      </c>
      <c r="E46" s="23"/>
      <c r="F46" s="96">
        <v>0</v>
      </c>
      <c r="G46" s="23"/>
      <c r="H46" s="23" t="s">
        <v>52</v>
      </c>
      <c r="I46" s="85"/>
    </row>
    <row r="47" spans="1:11" x14ac:dyDescent="0.2">
      <c r="A47" s="87"/>
      <c r="B47" s="23"/>
      <c r="C47" s="23"/>
      <c r="D47" s="23" t="s">
        <v>99</v>
      </c>
      <c r="E47" s="23"/>
      <c r="F47" s="96">
        <v>0</v>
      </c>
      <c r="G47" s="23"/>
      <c r="H47" s="23" t="s">
        <v>52</v>
      </c>
      <c r="I47" s="85"/>
    </row>
    <row r="48" spans="1:11" x14ac:dyDescent="0.2">
      <c r="A48" s="87"/>
      <c r="B48" s="23"/>
      <c r="C48" s="23"/>
      <c r="D48" s="23" t="s">
        <v>99</v>
      </c>
      <c r="E48" s="23"/>
      <c r="F48" s="96">
        <v>0</v>
      </c>
      <c r="G48" s="23"/>
      <c r="H48" s="23" t="s">
        <v>52</v>
      </c>
      <c r="I48" s="85"/>
    </row>
    <row r="49" spans="1:9" x14ac:dyDescent="0.2">
      <c r="A49" s="87"/>
      <c r="B49" s="23"/>
      <c r="C49" s="23"/>
      <c r="D49" s="23"/>
      <c r="E49" s="23"/>
      <c r="F49" s="93"/>
      <c r="G49" s="23"/>
      <c r="H49" s="23"/>
      <c r="I49" s="85"/>
    </row>
    <row r="50" spans="1:9" x14ac:dyDescent="0.2">
      <c r="A50" s="87" t="s">
        <v>65</v>
      </c>
      <c r="B50" s="23"/>
      <c r="C50" s="23"/>
      <c r="D50" s="23" t="s">
        <v>97</v>
      </c>
      <c r="E50" s="23"/>
      <c r="F50" s="97">
        <f>SUM(F44:F48)*100000/(9.81*$F$18)</f>
        <v>0</v>
      </c>
      <c r="G50" s="23"/>
      <c r="H50" s="84" t="s">
        <v>103</v>
      </c>
      <c r="I50" s="85"/>
    </row>
    <row r="51" spans="1:9" x14ac:dyDescent="0.2">
      <c r="A51" s="87"/>
      <c r="B51" s="23"/>
      <c r="C51" s="23"/>
      <c r="D51" s="40" t="s">
        <v>117</v>
      </c>
      <c r="E51" s="23"/>
      <c r="F51" s="97">
        <v>0</v>
      </c>
      <c r="G51" s="23"/>
      <c r="H51" s="92" t="s">
        <v>103</v>
      </c>
      <c r="I51" s="85"/>
    </row>
    <row r="52" spans="1:9" x14ac:dyDescent="0.2">
      <c r="A52" s="87"/>
      <c r="B52" s="23"/>
      <c r="C52" s="23"/>
      <c r="D52" s="40" t="s">
        <v>118</v>
      </c>
      <c r="E52" s="23"/>
      <c r="F52" s="97">
        <f>SUM(F50:F51)</f>
        <v>0</v>
      </c>
      <c r="G52" s="23"/>
      <c r="H52" s="92" t="s">
        <v>103</v>
      </c>
      <c r="I52" s="85"/>
    </row>
    <row r="53" spans="1:9" x14ac:dyDescent="0.2">
      <c r="A53" s="87"/>
      <c r="B53" s="23"/>
      <c r="C53" s="23"/>
      <c r="D53" s="40"/>
      <c r="E53" s="23"/>
      <c r="F53" s="97"/>
      <c r="G53" s="23"/>
      <c r="H53" s="92"/>
      <c r="I53" s="85"/>
    </row>
    <row r="54" spans="1:9" x14ac:dyDescent="0.2">
      <c r="A54" s="87"/>
      <c r="B54" s="23"/>
      <c r="C54" s="23"/>
      <c r="D54" s="40"/>
      <c r="E54" s="23"/>
      <c r="F54" s="93">
        <f>(F52*F18*9.81)/100000</f>
        <v>0</v>
      </c>
      <c r="G54" s="23"/>
      <c r="H54" s="23" t="s">
        <v>52</v>
      </c>
      <c r="I54" s="85"/>
    </row>
    <row r="55" spans="1:9" ht="13.5" thickBot="1" x14ac:dyDescent="0.25">
      <c r="A55" s="89"/>
      <c r="B55" s="90"/>
      <c r="C55" s="90"/>
      <c r="D55" s="90"/>
      <c r="E55" s="90"/>
      <c r="F55" s="90"/>
      <c r="G55" s="90"/>
      <c r="H55" s="90"/>
      <c r="I55" s="91"/>
    </row>
  </sheetData>
  <mergeCells count="4">
    <mergeCell ref="A6:D6"/>
    <mergeCell ref="A7:B11"/>
    <mergeCell ref="A21:I21"/>
    <mergeCell ref="A42:I42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86" orientation="portrait" r:id="rId1"/>
  <headerFooter alignWithMargins="0">
    <oddFooter>&amp;L&amp;8&amp;D&amp;R&amp;8&amp;F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1"/>
  <sheetViews>
    <sheetView workbookViewId="0">
      <selection activeCell="E9" sqref="E9"/>
    </sheetView>
  </sheetViews>
  <sheetFormatPr defaultRowHeight="12.75" x14ac:dyDescent="0.2"/>
  <cols>
    <col min="1" max="1" width="12.140625" style="61" customWidth="1"/>
    <col min="2" max="3" width="9.140625" style="61"/>
    <col min="4" max="4" width="12.42578125" style="61" bestFit="1" customWidth="1"/>
    <col min="5" max="5" width="12" style="61" bestFit="1" customWidth="1"/>
    <col min="6" max="6" width="10.7109375" style="61" customWidth="1"/>
    <col min="7" max="7" width="12.42578125" style="61" bestFit="1" customWidth="1"/>
    <col min="8" max="9" width="9.42578125" style="61" customWidth="1"/>
    <col min="10" max="10" width="14.140625" style="61" bestFit="1" customWidth="1"/>
    <col min="11" max="11" width="5" style="61" bestFit="1" customWidth="1"/>
    <col min="12" max="12" width="14.85546875" style="61" bestFit="1" customWidth="1"/>
    <col min="13" max="13" width="3.7109375" style="61" bestFit="1" customWidth="1"/>
    <col min="14" max="14" width="8.85546875" style="61" bestFit="1" customWidth="1"/>
    <col min="15" max="15" width="3.7109375" style="61" bestFit="1" customWidth="1"/>
    <col min="16" max="16" width="7.42578125" style="61" bestFit="1" customWidth="1"/>
    <col min="17" max="17" width="3.7109375" style="61" bestFit="1" customWidth="1"/>
    <col min="18" max="18" width="6.85546875" style="61" bestFit="1" customWidth="1"/>
    <col min="19" max="16384" width="9.140625" style="61"/>
  </cols>
  <sheetData>
    <row r="2" spans="1:17" ht="15.75" x14ac:dyDescent="0.25">
      <c r="A2" s="80" t="s">
        <v>0</v>
      </c>
    </row>
    <row r="6" spans="1:17" x14ac:dyDescent="0.2">
      <c r="A6" s="79" t="s">
        <v>85</v>
      </c>
    </row>
    <row r="7" spans="1:17" x14ac:dyDescent="0.2">
      <c r="A7" s="68" t="s">
        <v>4</v>
      </c>
      <c r="E7" s="65">
        <f>Parameters!S7</f>
        <v>0</v>
      </c>
      <c r="F7" s="69" t="s">
        <v>86</v>
      </c>
    </row>
    <row r="8" spans="1:17" x14ac:dyDescent="0.2">
      <c r="A8" s="68" t="s">
        <v>5</v>
      </c>
      <c r="E8" s="69">
        <f>total!F18</f>
        <v>1025</v>
      </c>
      <c r="F8" s="69" t="s">
        <v>11</v>
      </c>
      <c r="Q8" s="78"/>
    </row>
    <row r="9" spans="1:17" x14ac:dyDescent="0.2">
      <c r="A9" s="68" t="s">
        <v>9</v>
      </c>
      <c r="E9" s="69">
        <f>total!F17</f>
        <v>1</v>
      </c>
      <c r="F9" s="69" t="s">
        <v>73</v>
      </c>
    </row>
    <row r="10" spans="1:17" x14ac:dyDescent="0.2">
      <c r="A10" s="68" t="s">
        <v>6</v>
      </c>
      <c r="E10" s="65">
        <f>Parameters!S8</f>
        <v>0</v>
      </c>
      <c r="F10" s="69" t="s">
        <v>12</v>
      </c>
    </row>
    <row r="11" spans="1:17" x14ac:dyDescent="0.2">
      <c r="A11" s="68" t="s">
        <v>7</v>
      </c>
      <c r="E11" s="69">
        <f>VLOOKUP(H11,'pipe dimensions'!A1:D21,K11+1)</f>
        <v>450</v>
      </c>
      <c r="F11" s="69" t="s">
        <v>13</v>
      </c>
      <c r="G11" s="78" t="s">
        <v>68</v>
      </c>
      <c r="H11" s="78">
        <v>450</v>
      </c>
      <c r="J11" s="61" t="s">
        <v>72</v>
      </c>
      <c r="K11" s="65">
        <f>Parameters!Y10</f>
        <v>0</v>
      </c>
      <c r="L11" s="61" t="s">
        <v>74</v>
      </c>
    </row>
    <row r="12" spans="1:17" x14ac:dyDescent="0.2">
      <c r="A12" s="68" t="s">
        <v>14</v>
      </c>
      <c r="E12" s="65">
        <f>Parameters!S9</f>
        <v>0</v>
      </c>
      <c r="F12" s="69"/>
      <c r="G12" s="78" t="s">
        <v>24</v>
      </c>
      <c r="H12" s="78">
        <v>0.15</v>
      </c>
      <c r="I12" s="61" t="s">
        <v>13</v>
      </c>
      <c r="J12" s="78" t="s">
        <v>25</v>
      </c>
      <c r="K12" s="78">
        <v>0.02</v>
      </c>
      <c r="L12" s="61" t="s">
        <v>13</v>
      </c>
    </row>
    <row r="13" spans="1:17" x14ac:dyDescent="0.2">
      <c r="A13" s="68" t="s">
        <v>8</v>
      </c>
      <c r="E13" s="69">
        <f>IF(E10&gt;0,D51,0)</f>
        <v>0</v>
      </c>
      <c r="F13" s="69"/>
    </row>
    <row r="15" spans="1:17" x14ac:dyDescent="0.2">
      <c r="A15" s="68" t="s">
        <v>1</v>
      </c>
      <c r="H15" s="69"/>
    </row>
    <row r="16" spans="1:17" x14ac:dyDescent="0.2">
      <c r="A16" s="67" t="s">
        <v>3</v>
      </c>
      <c r="D16" s="68" t="s">
        <v>75</v>
      </c>
      <c r="H16" s="74">
        <f>E7/3600/(0.785*(0.001*E11)*(0.001*E11))</f>
        <v>0</v>
      </c>
      <c r="I16" s="69" t="s">
        <v>2</v>
      </c>
    </row>
    <row r="17" spans="1:12" x14ac:dyDescent="0.2">
      <c r="A17" s="67" t="s">
        <v>10</v>
      </c>
      <c r="D17" s="68" t="s">
        <v>76</v>
      </c>
      <c r="H17" s="74">
        <f>H16*0.001*E11/E9*1000000</f>
        <v>0</v>
      </c>
      <c r="I17" s="77">
        <f>H17</f>
        <v>0</v>
      </c>
    </row>
    <row r="18" spans="1:12" x14ac:dyDescent="0.2">
      <c r="A18" s="67" t="s">
        <v>32</v>
      </c>
      <c r="D18" s="68"/>
      <c r="H18" s="76">
        <f>H12/E11</f>
        <v>3.3333333333333332E-4</v>
      </c>
      <c r="I18" s="69"/>
    </row>
    <row r="19" spans="1:12" x14ac:dyDescent="0.2">
      <c r="A19" s="67" t="s">
        <v>26</v>
      </c>
      <c r="D19" s="68"/>
      <c r="H19" s="74">
        <f>H17*H12/E11</f>
        <v>0</v>
      </c>
      <c r="I19" s="69"/>
    </row>
    <row r="20" spans="1:12" x14ac:dyDescent="0.2">
      <c r="A20" s="67"/>
      <c r="D20" s="68"/>
      <c r="H20" s="74"/>
      <c r="I20" s="69"/>
    </row>
    <row r="21" spans="1:12" x14ac:dyDescent="0.2">
      <c r="A21" s="67" t="s">
        <v>78</v>
      </c>
      <c r="D21" s="61" t="s">
        <v>77</v>
      </c>
      <c r="H21" s="76">
        <f>IF((E7&gt;0),64/H17,0)</f>
        <v>0</v>
      </c>
      <c r="I21" s="69"/>
    </row>
    <row r="22" spans="1:12" x14ac:dyDescent="0.2">
      <c r="A22" s="67" t="s">
        <v>80</v>
      </c>
      <c r="D22" s="61" t="s">
        <v>79</v>
      </c>
      <c r="H22" s="76">
        <f>IF((E7&gt;0),(0.0055*(1+(20000*IF(E12&gt;1,K12/1000,H12/1000)/(0.001*E11)+1000000/H17)^0.333333)),0)</f>
        <v>0</v>
      </c>
      <c r="I22" s="69"/>
    </row>
    <row r="23" spans="1:12" x14ac:dyDescent="0.2">
      <c r="A23" s="61" t="s">
        <v>82</v>
      </c>
      <c r="D23" s="61" t="s">
        <v>81</v>
      </c>
      <c r="H23" s="75">
        <f>((IF(H17&gt;2320,H22,H21))*E10/(0.001*E11)+E13)*E8*H16*H16/(2*100000)</f>
        <v>0</v>
      </c>
      <c r="I23" s="69" t="s">
        <v>52</v>
      </c>
      <c r="J23" s="61" t="s">
        <v>19</v>
      </c>
    </row>
    <row r="24" spans="1:12" x14ac:dyDescent="0.2">
      <c r="H24" s="74">
        <f>+H23*100/(9.81)</f>
        <v>0</v>
      </c>
      <c r="I24" s="69" t="s">
        <v>15</v>
      </c>
      <c r="J24" s="61" t="s">
        <v>20</v>
      </c>
    </row>
    <row r="25" spans="1:12" x14ac:dyDescent="0.2">
      <c r="H25" s="69" t="s">
        <v>16</v>
      </c>
      <c r="I25" s="69"/>
    </row>
    <row r="26" spans="1:12" s="73" customFormat="1" hidden="1" x14ac:dyDescent="0.2"/>
    <row r="27" spans="1:12" hidden="1" x14ac:dyDescent="0.2"/>
    <row r="28" spans="1:12" hidden="1" x14ac:dyDescent="0.2">
      <c r="A28" s="61" t="s">
        <v>41</v>
      </c>
      <c r="D28" s="61" t="s">
        <v>18</v>
      </c>
      <c r="H28" s="61" t="s">
        <v>21</v>
      </c>
      <c r="L28" s="61" t="s">
        <v>23</v>
      </c>
    </row>
    <row r="29" spans="1:12" hidden="1" x14ac:dyDescent="0.2">
      <c r="D29" s="72" t="s">
        <v>22</v>
      </c>
      <c r="F29" s="61" t="s">
        <v>42</v>
      </c>
      <c r="H29" s="71" t="s">
        <v>35</v>
      </c>
      <c r="L29" s="70" t="s">
        <v>36</v>
      </c>
    </row>
    <row r="30" spans="1:12" hidden="1" x14ac:dyDescent="0.2">
      <c r="B30" s="61" t="s">
        <v>28</v>
      </c>
    </row>
    <row r="31" spans="1:12" hidden="1" x14ac:dyDescent="0.2">
      <c r="C31" s="61" t="s">
        <v>27</v>
      </c>
      <c r="D31" s="69" t="e">
        <f>0.3164*H17^-0.25</f>
        <v>#DIV/0!</v>
      </c>
      <c r="E31" s="61" t="s">
        <v>39</v>
      </c>
      <c r="F31" s="61" t="s">
        <v>43</v>
      </c>
      <c r="G31" s="61" t="s">
        <v>30</v>
      </c>
      <c r="H31" s="61">
        <f>(1/(2*LOG10((E11/H12))+1.14))^2</f>
        <v>1.5263269619887646E-2</v>
      </c>
      <c r="I31" s="61" t="s">
        <v>37</v>
      </c>
      <c r="K31" s="61" t="s">
        <v>34</v>
      </c>
      <c r="L31" s="61" t="e">
        <f>1/(-2*LOG10(H12/(3.72*E11)+2.51/H17*((H17*E11/H12)^0.0625)*(1/0.48)))^2</f>
        <v>#DIV/0!</v>
      </c>
    </row>
    <row r="32" spans="1:12" hidden="1" x14ac:dyDescent="0.2">
      <c r="C32" s="61" t="s">
        <v>29</v>
      </c>
      <c r="D32" s="61" t="e">
        <f>0.0032+0.221*H17^-0.237</f>
        <v>#DIV/0!</v>
      </c>
      <c r="E32" s="61" t="s">
        <v>37</v>
      </c>
      <c r="F32" s="61" t="s">
        <v>44</v>
      </c>
      <c r="G32" s="61" t="s">
        <v>31</v>
      </c>
      <c r="H32" s="61">
        <f>0.0055+0.15*(H12/E11)^(1/3)</f>
        <v>1.5900419115259527E-2</v>
      </c>
      <c r="I32" s="61" t="s">
        <v>38</v>
      </c>
    </row>
    <row r="33" spans="1:12" hidden="1" x14ac:dyDescent="0.2">
      <c r="C33" s="61" t="s">
        <v>33</v>
      </c>
      <c r="D33" s="61" t="e">
        <f>0.0054+0.3964/H17^0.3</f>
        <v>#DIV/0!</v>
      </c>
      <c r="E33" s="61" t="s">
        <v>40</v>
      </c>
      <c r="F33" s="61" t="s">
        <v>45</v>
      </c>
    </row>
    <row r="34" spans="1:12" hidden="1" x14ac:dyDescent="0.2"/>
    <row r="36" spans="1:12" x14ac:dyDescent="0.2">
      <c r="A36" s="68" t="s">
        <v>47</v>
      </c>
      <c r="B36" s="61" t="s">
        <v>49</v>
      </c>
      <c r="C36" s="61" t="s">
        <v>48</v>
      </c>
      <c r="D36" s="61" t="s">
        <v>50</v>
      </c>
      <c r="F36" s="61" t="s">
        <v>58</v>
      </c>
    </row>
    <row r="37" spans="1:12" x14ac:dyDescent="0.2">
      <c r="A37" s="67" t="s">
        <v>53</v>
      </c>
      <c r="B37" s="65">
        <f>Parameters!S11</f>
        <v>0</v>
      </c>
      <c r="C37" s="62">
        <v>5</v>
      </c>
      <c r="D37" s="62">
        <f t="shared" ref="D37:D49" si="0">B37*C37</f>
        <v>0</v>
      </c>
    </row>
    <row r="38" spans="1:12" x14ac:dyDescent="0.2">
      <c r="A38" s="67" t="s">
        <v>54</v>
      </c>
      <c r="B38" s="65">
        <f>Parameters!S12</f>
        <v>0</v>
      </c>
      <c r="C38" s="62">
        <v>0.5</v>
      </c>
      <c r="D38" s="62">
        <f t="shared" si="0"/>
        <v>0</v>
      </c>
      <c r="I38" s="63"/>
    </row>
    <row r="39" spans="1:12" x14ac:dyDescent="0.2">
      <c r="A39" s="67" t="s">
        <v>62</v>
      </c>
      <c r="B39" s="65">
        <f>Parameters!S13</f>
        <v>0</v>
      </c>
      <c r="C39" s="62">
        <v>4</v>
      </c>
      <c r="D39" s="62">
        <f t="shared" si="0"/>
        <v>0</v>
      </c>
      <c r="I39" s="63"/>
    </row>
    <row r="40" spans="1:12" x14ac:dyDescent="0.2">
      <c r="A40" s="61" t="s">
        <v>94</v>
      </c>
      <c r="B40" s="65">
        <f>Parameters!S14</f>
        <v>0</v>
      </c>
      <c r="C40" s="62">
        <v>5</v>
      </c>
      <c r="D40" s="62">
        <f t="shared" si="0"/>
        <v>0</v>
      </c>
      <c r="I40" s="63"/>
    </row>
    <row r="41" spans="1:12" x14ac:dyDescent="0.2">
      <c r="A41" s="66" t="s">
        <v>95</v>
      </c>
      <c r="B41" s="65">
        <f>Parameters!S15</f>
        <v>0</v>
      </c>
      <c r="C41" s="62">
        <v>0.5</v>
      </c>
      <c r="D41" s="62">
        <f t="shared" si="0"/>
        <v>0</v>
      </c>
      <c r="I41" s="63"/>
    </row>
    <row r="42" spans="1:12" x14ac:dyDescent="0.2">
      <c r="A42" s="61" t="s">
        <v>63</v>
      </c>
      <c r="B42" s="65">
        <f>Parameters!S16</f>
        <v>0</v>
      </c>
      <c r="C42" s="62">
        <v>0.5</v>
      </c>
      <c r="D42" s="62">
        <f t="shared" si="0"/>
        <v>0</v>
      </c>
      <c r="L42" s="63"/>
    </row>
    <row r="43" spans="1:12" x14ac:dyDescent="0.2">
      <c r="A43" s="61" t="s">
        <v>64</v>
      </c>
      <c r="B43" s="65">
        <f>Parameters!S17</f>
        <v>0</v>
      </c>
      <c r="C43" s="62">
        <v>1</v>
      </c>
      <c r="D43" s="62">
        <f t="shared" si="0"/>
        <v>0</v>
      </c>
      <c r="L43" s="63"/>
    </row>
    <row r="44" spans="1:12" x14ac:dyDescent="0.2">
      <c r="A44" s="61" t="s">
        <v>51</v>
      </c>
      <c r="B44" s="65">
        <f>Parameters!S18</f>
        <v>0</v>
      </c>
      <c r="C44" s="62">
        <f>IF(H17&gt;2300,0.35,3.5)</f>
        <v>3.5</v>
      </c>
      <c r="D44" s="62">
        <f t="shared" si="0"/>
        <v>0</v>
      </c>
      <c r="F44" s="61" t="s">
        <v>89</v>
      </c>
      <c r="L44" s="63"/>
    </row>
    <row r="45" spans="1:12" x14ac:dyDescent="0.2">
      <c r="A45" s="61" t="s">
        <v>59</v>
      </c>
      <c r="B45" s="65">
        <f>Parameters!S19</f>
        <v>0</v>
      </c>
      <c r="C45" s="62">
        <v>1</v>
      </c>
      <c r="D45" s="62">
        <f t="shared" si="0"/>
        <v>0</v>
      </c>
      <c r="I45" s="63"/>
    </row>
    <row r="46" spans="1:12" x14ac:dyDescent="0.2">
      <c r="A46" s="61" t="s">
        <v>60</v>
      </c>
      <c r="B46" s="65">
        <f>Parameters!S20</f>
        <v>0</v>
      </c>
      <c r="C46" s="62">
        <v>0.1</v>
      </c>
      <c r="D46" s="62">
        <f t="shared" si="0"/>
        <v>0</v>
      </c>
      <c r="I46" s="63"/>
    </row>
    <row r="47" spans="1:12" x14ac:dyDescent="0.2">
      <c r="A47" s="61" t="s">
        <v>56</v>
      </c>
      <c r="B47" s="65">
        <f>Parameters!S21</f>
        <v>0</v>
      </c>
      <c r="C47" s="62">
        <v>1</v>
      </c>
      <c r="D47" s="62">
        <f t="shared" si="0"/>
        <v>0</v>
      </c>
      <c r="I47" s="63"/>
    </row>
    <row r="48" spans="1:12" x14ac:dyDescent="0.2">
      <c r="A48" s="61" t="s">
        <v>57</v>
      </c>
      <c r="B48" s="65">
        <f>Parameters!S22</f>
        <v>0</v>
      </c>
      <c r="C48" s="62">
        <v>6</v>
      </c>
      <c r="D48" s="62">
        <f t="shared" si="0"/>
        <v>0</v>
      </c>
      <c r="I48" s="63"/>
    </row>
    <row r="49" spans="1:9" x14ac:dyDescent="0.2">
      <c r="A49" s="61" t="s">
        <v>61</v>
      </c>
      <c r="B49" s="65">
        <f>Parameters!S23</f>
        <v>0</v>
      </c>
      <c r="C49" s="62">
        <v>0.2</v>
      </c>
      <c r="D49" s="62">
        <f t="shared" si="0"/>
        <v>0</v>
      </c>
      <c r="I49" s="63"/>
    </row>
    <row r="50" spans="1:9" x14ac:dyDescent="0.2">
      <c r="B50" s="64"/>
      <c r="C50" s="62"/>
      <c r="D50" s="62"/>
      <c r="I50" s="63"/>
    </row>
    <row r="51" spans="1:9" x14ac:dyDescent="0.2">
      <c r="A51" s="61" t="s">
        <v>46</v>
      </c>
      <c r="B51" s="62"/>
      <c r="C51" s="62"/>
      <c r="D51" s="62">
        <f>SUM(D37:D50)</f>
        <v>0</v>
      </c>
    </row>
  </sheetData>
  <conditionalFormatting sqref="D28">
    <cfRule type="cellIs" dxfId="31" priority="1" stopIfTrue="1" operator="lessThan">
      <formula>65</formula>
    </cfRule>
  </conditionalFormatting>
  <conditionalFormatting sqref="E7 E10 E12 K11 B37:B49">
    <cfRule type="cellIs" dxfId="30" priority="2" stopIfTrue="1" operator="notEqual">
      <formula>0</formula>
    </cfRule>
  </conditionalFormatting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1"/>
  <sheetViews>
    <sheetView workbookViewId="0">
      <selection activeCell="E9" sqref="E9"/>
    </sheetView>
  </sheetViews>
  <sheetFormatPr defaultRowHeight="12.75" x14ac:dyDescent="0.2"/>
  <cols>
    <col min="1" max="1" width="12.140625" style="61" customWidth="1"/>
    <col min="2" max="3" width="9.140625" style="61"/>
    <col min="4" max="4" width="12.42578125" style="61" bestFit="1" customWidth="1"/>
    <col min="5" max="5" width="12" style="61" bestFit="1" customWidth="1"/>
    <col min="6" max="6" width="10.7109375" style="61" customWidth="1"/>
    <col min="7" max="7" width="12.42578125" style="61" bestFit="1" customWidth="1"/>
    <col min="8" max="9" width="9.42578125" style="61" customWidth="1"/>
    <col min="10" max="10" width="14.140625" style="61" bestFit="1" customWidth="1"/>
    <col min="11" max="11" width="5" style="61" bestFit="1" customWidth="1"/>
    <col min="12" max="12" width="14.85546875" style="61" bestFit="1" customWidth="1"/>
    <col min="13" max="13" width="3.7109375" style="61" bestFit="1" customWidth="1"/>
    <col min="14" max="14" width="8.85546875" style="61" bestFit="1" customWidth="1"/>
    <col min="15" max="15" width="3.7109375" style="61" bestFit="1" customWidth="1"/>
    <col min="16" max="16" width="7.42578125" style="61" bestFit="1" customWidth="1"/>
    <col min="17" max="17" width="3.7109375" style="61" bestFit="1" customWidth="1"/>
    <col min="18" max="18" width="6.85546875" style="61" bestFit="1" customWidth="1"/>
    <col min="19" max="16384" width="9.140625" style="61"/>
  </cols>
  <sheetData>
    <row r="2" spans="1:17" ht="15.75" x14ac:dyDescent="0.25">
      <c r="A2" s="80" t="s">
        <v>0</v>
      </c>
    </row>
    <row r="6" spans="1:17" x14ac:dyDescent="0.2">
      <c r="A6" s="79" t="s">
        <v>85</v>
      </c>
    </row>
    <row r="7" spans="1:17" x14ac:dyDescent="0.2">
      <c r="A7" s="68" t="s">
        <v>4</v>
      </c>
      <c r="E7" s="65">
        <f>Parameters!T7</f>
        <v>0</v>
      </c>
      <c r="F7" s="69" t="s">
        <v>86</v>
      </c>
    </row>
    <row r="8" spans="1:17" x14ac:dyDescent="0.2">
      <c r="A8" s="68" t="s">
        <v>5</v>
      </c>
      <c r="E8" s="69">
        <f>total!F18</f>
        <v>1025</v>
      </c>
      <c r="F8" s="69" t="s">
        <v>11</v>
      </c>
      <c r="Q8" s="78"/>
    </row>
    <row r="9" spans="1:17" x14ac:dyDescent="0.2">
      <c r="A9" s="68" t="s">
        <v>9</v>
      </c>
      <c r="E9" s="69">
        <f>total!F17</f>
        <v>1</v>
      </c>
      <c r="F9" s="69" t="s">
        <v>73</v>
      </c>
    </row>
    <row r="10" spans="1:17" x14ac:dyDescent="0.2">
      <c r="A10" s="68" t="s">
        <v>6</v>
      </c>
      <c r="E10" s="65">
        <f>Parameters!T8</f>
        <v>0</v>
      </c>
      <c r="F10" s="69" t="s">
        <v>12</v>
      </c>
    </row>
    <row r="11" spans="1:17" x14ac:dyDescent="0.2">
      <c r="A11" s="68" t="s">
        <v>7</v>
      </c>
      <c r="E11" s="69">
        <f>VLOOKUP(H11,'pipe dimensions'!A1:D21,K11+1)</f>
        <v>450</v>
      </c>
      <c r="F11" s="69" t="s">
        <v>13</v>
      </c>
      <c r="G11" s="78" t="s">
        <v>68</v>
      </c>
      <c r="H11" s="78">
        <v>450</v>
      </c>
      <c r="J11" s="61" t="s">
        <v>72</v>
      </c>
      <c r="K11" s="65">
        <f>Parameters!T10</f>
        <v>0</v>
      </c>
      <c r="L11" s="61" t="s">
        <v>74</v>
      </c>
    </row>
    <row r="12" spans="1:17" x14ac:dyDescent="0.2">
      <c r="A12" s="68" t="s">
        <v>14</v>
      </c>
      <c r="E12" s="65">
        <f>Parameters!T9</f>
        <v>0</v>
      </c>
      <c r="F12" s="69"/>
      <c r="G12" s="78" t="s">
        <v>24</v>
      </c>
      <c r="H12" s="78">
        <v>0.15</v>
      </c>
      <c r="I12" s="61" t="s">
        <v>13</v>
      </c>
      <c r="J12" s="78" t="s">
        <v>25</v>
      </c>
      <c r="K12" s="78">
        <v>0.02</v>
      </c>
      <c r="L12" s="61" t="s">
        <v>13</v>
      </c>
    </row>
    <row r="13" spans="1:17" x14ac:dyDescent="0.2">
      <c r="A13" s="68" t="s">
        <v>8</v>
      </c>
      <c r="E13" s="69">
        <f>IF(E10&gt;0,D51,0)</f>
        <v>0</v>
      </c>
      <c r="F13" s="69"/>
    </row>
    <row r="15" spans="1:17" x14ac:dyDescent="0.2">
      <c r="A15" s="68" t="s">
        <v>1</v>
      </c>
      <c r="H15" s="69"/>
    </row>
    <row r="16" spans="1:17" x14ac:dyDescent="0.2">
      <c r="A16" s="67" t="s">
        <v>3</v>
      </c>
      <c r="D16" s="68" t="s">
        <v>75</v>
      </c>
      <c r="H16" s="74">
        <f>E7/3600/(0.785*(0.001*E11)*(0.001*E11))</f>
        <v>0</v>
      </c>
      <c r="I16" s="69" t="s">
        <v>2</v>
      </c>
    </row>
    <row r="17" spans="1:12" x14ac:dyDescent="0.2">
      <c r="A17" s="67" t="s">
        <v>10</v>
      </c>
      <c r="D17" s="68" t="s">
        <v>76</v>
      </c>
      <c r="H17" s="74">
        <f>H16*0.001*E11/E9*1000000</f>
        <v>0</v>
      </c>
      <c r="I17" s="77">
        <f>H17</f>
        <v>0</v>
      </c>
    </row>
    <row r="18" spans="1:12" x14ac:dyDescent="0.2">
      <c r="A18" s="67" t="s">
        <v>32</v>
      </c>
      <c r="D18" s="68"/>
      <c r="H18" s="76">
        <f>H12/E11</f>
        <v>3.3333333333333332E-4</v>
      </c>
      <c r="I18" s="69"/>
    </row>
    <row r="19" spans="1:12" x14ac:dyDescent="0.2">
      <c r="A19" s="67" t="s">
        <v>26</v>
      </c>
      <c r="D19" s="68"/>
      <c r="H19" s="74">
        <f>H17*H12/E11</f>
        <v>0</v>
      </c>
      <c r="I19" s="69"/>
    </row>
    <row r="20" spans="1:12" x14ac:dyDescent="0.2">
      <c r="A20" s="67"/>
      <c r="D20" s="68"/>
      <c r="H20" s="74"/>
      <c r="I20" s="69"/>
    </row>
    <row r="21" spans="1:12" x14ac:dyDescent="0.2">
      <c r="A21" s="67" t="s">
        <v>78</v>
      </c>
      <c r="D21" s="61" t="s">
        <v>77</v>
      </c>
      <c r="H21" s="76">
        <f>IF((E7&gt;0),64/H17,0)</f>
        <v>0</v>
      </c>
      <c r="I21" s="69"/>
    </row>
    <row r="22" spans="1:12" x14ac:dyDescent="0.2">
      <c r="A22" s="67" t="s">
        <v>80</v>
      </c>
      <c r="D22" s="61" t="s">
        <v>79</v>
      </c>
      <c r="H22" s="76">
        <f>IF((E7&gt;0),(0.0055*(1+(20000*IF(E12&gt;1,K12/1000,H12/1000)/(0.001*E11)+1000000/H17)^0.333333)),0)</f>
        <v>0</v>
      </c>
      <c r="I22" s="69"/>
    </row>
    <row r="23" spans="1:12" x14ac:dyDescent="0.2">
      <c r="A23" s="61" t="s">
        <v>82</v>
      </c>
      <c r="D23" s="61" t="s">
        <v>81</v>
      </c>
      <c r="H23" s="75">
        <f>((IF(H17&gt;2320,H22,H21))*E10/(0.001*E11)+E13)*E8*H16*H16/(2*100000)</f>
        <v>0</v>
      </c>
      <c r="I23" s="69" t="s">
        <v>52</v>
      </c>
      <c r="J23" s="61" t="s">
        <v>19</v>
      </c>
    </row>
    <row r="24" spans="1:12" x14ac:dyDescent="0.2">
      <c r="H24" s="74">
        <f>+H23*100/(9.81)</f>
        <v>0</v>
      </c>
      <c r="I24" s="69" t="s">
        <v>15</v>
      </c>
      <c r="J24" s="61" t="s">
        <v>20</v>
      </c>
    </row>
    <row r="25" spans="1:12" x14ac:dyDescent="0.2">
      <c r="H25" s="69" t="s">
        <v>16</v>
      </c>
      <c r="I25" s="69"/>
    </row>
    <row r="26" spans="1:12" s="73" customFormat="1" hidden="1" x14ac:dyDescent="0.2"/>
    <row r="27" spans="1:12" hidden="1" x14ac:dyDescent="0.2"/>
    <row r="28" spans="1:12" hidden="1" x14ac:dyDescent="0.2">
      <c r="A28" s="61" t="s">
        <v>41</v>
      </c>
      <c r="D28" s="61" t="s">
        <v>18</v>
      </c>
      <c r="H28" s="61" t="s">
        <v>21</v>
      </c>
      <c r="L28" s="61" t="s">
        <v>23</v>
      </c>
    </row>
    <row r="29" spans="1:12" hidden="1" x14ac:dyDescent="0.2">
      <c r="D29" s="72" t="s">
        <v>22</v>
      </c>
      <c r="F29" s="61" t="s">
        <v>42</v>
      </c>
      <c r="H29" s="71" t="s">
        <v>35</v>
      </c>
      <c r="L29" s="70" t="s">
        <v>36</v>
      </c>
    </row>
    <row r="30" spans="1:12" hidden="1" x14ac:dyDescent="0.2">
      <c r="B30" s="61" t="s">
        <v>28</v>
      </c>
    </row>
    <row r="31" spans="1:12" hidden="1" x14ac:dyDescent="0.2">
      <c r="C31" s="61" t="s">
        <v>27</v>
      </c>
      <c r="D31" s="69" t="e">
        <f>0.3164*H17^-0.25</f>
        <v>#DIV/0!</v>
      </c>
      <c r="E31" s="61" t="s">
        <v>39</v>
      </c>
      <c r="F31" s="61" t="s">
        <v>43</v>
      </c>
      <c r="G31" s="61" t="s">
        <v>30</v>
      </c>
      <c r="H31" s="61">
        <f>(1/(2*LOG10((E11/H12))+1.14))^2</f>
        <v>1.5263269619887646E-2</v>
      </c>
      <c r="I31" s="61" t="s">
        <v>37</v>
      </c>
      <c r="K31" s="61" t="s">
        <v>34</v>
      </c>
      <c r="L31" s="61" t="e">
        <f>1/(-2*LOG10(H12/(3.72*E11)+2.51/H17*((H17*E11/H12)^0.0625)*(1/0.48)))^2</f>
        <v>#DIV/0!</v>
      </c>
    </row>
    <row r="32" spans="1:12" hidden="1" x14ac:dyDescent="0.2">
      <c r="C32" s="61" t="s">
        <v>29</v>
      </c>
      <c r="D32" s="61" t="e">
        <f>0.0032+0.221*H17^-0.237</f>
        <v>#DIV/0!</v>
      </c>
      <c r="E32" s="61" t="s">
        <v>37</v>
      </c>
      <c r="F32" s="61" t="s">
        <v>44</v>
      </c>
      <c r="G32" s="61" t="s">
        <v>31</v>
      </c>
      <c r="H32" s="61">
        <f>0.0055+0.15*(H12/E11)^(1/3)</f>
        <v>1.5900419115259527E-2</v>
      </c>
      <c r="I32" s="61" t="s">
        <v>38</v>
      </c>
    </row>
    <row r="33" spans="1:12" hidden="1" x14ac:dyDescent="0.2">
      <c r="C33" s="61" t="s">
        <v>33</v>
      </c>
      <c r="D33" s="61" t="e">
        <f>0.0054+0.3964/H17^0.3</f>
        <v>#DIV/0!</v>
      </c>
      <c r="E33" s="61" t="s">
        <v>40</v>
      </c>
      <c r="F33" s="61" t="s">
        <v>45</v>
      </c>
    </row>
    <row r="34" spans="1:12" hidden="1" x14ac:dyDescent="0.2"/>
    <row r="36" spans="1:12" x14ac:dyDescent="0.2">
      <c r="A36" s="68" t="s">
        <v>47</v>
      </c>
      <c r="B36" s="61" t="s">
        <v>49</v>
      </c>
      <c r="C36" s="61" t="s">
        <v>48</v>
      </c>
      <c r="D36" s="61" t="s">
        <v>50</v>
      </c>
      <c r="F36" s="61" t="s">
        <v>58</v>
      </c>
    </row>
    <row r="37" spans="1:12" x14ac:dyDescent="0.2">
      <c r="A37" s="67" t="s">
        <v>53</v>
      </c>
      <c r="B37" s="65">
        <f>Parameters!T11</f>
        <v>0</v>
      </c>
      <c r="C37" s="62">
        <v>5</v>
      </c>
      <c r="D37" s="62">
        <f t="shared" ref="D37:D49" si="0">B37*C37</f>
        <v>0</v>
      </c>
    </row>
    <row r="38" spans="1:12" x14ac:dyDescent="0.2">
      <c r="A38" s="67" t="s">
        <v>54</v>
      </c>
      <c r="B38" s="65">
        <f>Parameters!T12</f>
        <v>0</v>
      </c>
      <c r="C38" s="62">
        <v>0.5</v>
      </c>
      <c r="D38" s="62">
        <f t="shared" si="0"/>
        <v>0</v>
      </c>
      <c r="I38" s="63"/>
    </row>
    <row r="39" spans="1:12" x14ac:dyDescent="0.2">
      <c r="A39" s="67" t="s">
        <v>62</v>
      </c>
      <c r="B39" s="65">
        <f>Parameters!T13</f>
        <v>0</v>
      </c>
      <c r="C39" s="62">
        <v>4</v>
      </c>
      <c r="D39" s="62">
        <f t="shared" si="0"/>
        <v>0</v>
      </c>
      <c r="I39" s="63"/>
    </row>
    <row r="40" spans="1:12" x14ac:dyDescent="0.2">
      <c r="A40" s="61" t="s">
        <v>94</v>
      </c>
      <c r="B40" s="65">
        <f>Parameters!T14</f>
        <v>0</v>
      </c>
      <c r="C40" s="62">
        <v>5</v>
      </c>
      <c r="D40" s="62">
        <f t="shared" si="0"/>
        <v>0</v>
      </c>
      <c r="I40" s="63"/>
    </row>
    <row r="41" spans="1:12" x14ac:dyDescent="0.2">
      <c r="A41" s="66" t="s">
        <v>95</v>
      </c>
      <c r="B41" s="65">
        <f>Parameters!T15</f>
        <v>0</v>
      </c>
      <c r="C41" s="62">
        <v>0.5</v>
      </c>
      <c r="D41" s="62">
        <f t="shared" si="0"/>
        <v>0</v>
      </c>
      <c r="I41" s="63"/>
    </row>
    <row r="42" spans="1:12" x14ac:dyDescent="0.2">
      <c r="A42" s="61" t="s">
        <v>63</v>
      </c>
      <c r="B42" s="65">
        <f>Parameters!T16</f>
        <v>0</v>
      </c>
      <c r="C42" s="62">
        <v>0.5</v>
      </c>
      <c r="D42" s="62">
        <f t="shared" si="0"/>
        <v>0</v>
      </c>
      <c r="L42" s="63"/>
    </row>
    <row r="43" spans="1:12" x14ac:dyDescent="0.2">
      <c r="A43" s="61" t="s">
        <v>64</v>
      </c>
      <c r="B43" s="65">
        <f>Parameters!T17</f>
        <v>0</v>
      </c>
      <c r="C43" s="62">
        <v>1</v>
      </c>
      <c r="D43" s="62">
        <f t="shared" si="0"/>
        <v>0</v>
      </c>
      <c r="L43" s="63"/>
    </row>
    <row r="44" spans="1:12" x14ac:dyDescent="0.2">
      <c r="A44" s="61" t="s">
        <v>51</v>
      </c>
      <c r="B44" s="65">
        <f>Parameters!T18</f>
        <v>0</v>
      </c>
      <c r="C44" s="62">
        <f>IF(H17&gt;2300,0.35,3.5)</f>
        <v>3.5</v>
      </c>
      <c r="D44" s="62">
        <f t="shared" si="0"/>
        <v>0</v>
      </c>
      <c r="F44" s="61" t="s">
        <v>89</v>
      </c>
      <c r="L44" s="63"/>
    </row>
    <row r="45" spans="1:12" x14ac:dyDescent="0.2">
      <c r="A45" s="61" t="s">
        <v>59</v>
      </c>
      <c r="B45" s="65">
        <f>Parameters!T19</f>
        <v>0</v>
      </c>
      <c r="C45" s="62">
        <v>1</v>
      </c>
      <c r="D45" s="62">
        <f t="shared" si="0"/>
        <v>0</v>
      </c>
      <c r="I45" s="63"/>
    </row>
    <row r="46" spans="1:12" x14ac:dyDescent="0.2">
      <c r="A46" s="61" t="s">
        <v>60</v>
      </c>
      <c r="B46" s="65">
        <f>Parameters!T20</f>
        <v>0</v>
      </c>
      <c r="C46" s="62">
        <v>0.1</v>
      </c>
      <c r="D46" s="62">
        <f t="shared" si="0"/>
        <v>0</v>
      </c>
      <c r="I46" s="63"/>
    </row>
    <row r="47" spans="1:12" x14ac:dyDescent="0.2">
      <c r="A47" s="61" t="s">
        <v>56</v>
      </c>
      <c r="B47" s="65">
        <f>Parameters!T21</f>
        <v>0</v>
      </c>
      <c r="C47" s="62">
        <v>1</v>
      </c>
      <c r="D47" s="62">
        <f t="shared" si="0"/>
        <v>0</v>
      </c>
      <c r="I47" s="63"/>
    </row>
    <row r="48" spans="1:12" x14ac:dyDescent="0.2">
      <c r="A48" s="61" t="s">
        <v>57</v>
      </c>
      <c r="B48" s="65">
        <f>Parameters!T22</f>
        <v>0</v>
      </c>
      <c r="C48" s="62">
        <v>6</v>
      </c>
      <c r="D48" s="62">
        <f t="shared" si="0"/>
        <v>0</v>
      </c>
      <c r="I48" s="63"/>
    </row>
    <row r="49" spans="1:9" x14ac:dyDescent="0.2">
      <c r="A49" s="61" t="s">
        <v>61</v>
      </c>
      <c r="B49" s="65">
        <f>Parameters!T23</f>
        <v>0</v>
      </c>
      <c r="C49" s="62">
        <v>0.2</v>
      </c>
      <c r="D49" s="62">
        <f t="shared" si="0"/>
        <v>0</v>
      </c>
      <c r="I49" s="63"/>
    </row>
    <row r="50" spans="1:9" x14ac:dyDescent="0.2">
      <c r="B50" s="64"/>
      <c r="C50" s="62"/>
      <c r="D50" s="62"/>
      <c r="I50" s="63"/>
    </row>
    <row r="51" spans="1:9" x14ac:dyDescent="0.2">
      <c r="A51" s="61" t="s">
        <v>46</v>
      </c>
      <c r="B51" s="62"/>
      <c r="C51" s="62"/>
      <c r="D51" s="62">
        <f>SUM(D37:D50)</f>
        <v>0</v>
      </c>
    </row>
  </sheetData>
  <conditionalFormatting sqref="D28">
    <cfRule type="cellIs" dxfId="29" priority="1" stopIfTrue="1" operator="lessThan">
      <formula>65</formula>
    </cfRule>
  </conditionalFormatting>
  <conditionalFormatting sqref="E7 E10 E12 K11 B37:B49">
    <cfRule type="cellIs" dxfId="28" priority="2" stopIfTrue="1" operator="notEqual">
      <formula>0</formula>
    </cfRule>
  </conditionalFormatting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7">
    <pageSetUpPr fitToPage="1"/>
  </sheetPr>
  <dimension ref="A2:Q51"/>
  <sheetViews>
    <sheetView workbookViewId="0">
      <selection activeCell="E9" sqref="E9"/>
    </sheetView>
  </sheetViews>
  <sheetFormatPr defaultRowHeight="12.75" x14ac:dyDescent="0.2"/>
  <cols>
    <col min="1" max="1" width="12.140625" style="61" customWidth="1"/>
    <col min="2" max="3" width="9.140625" style="61"/>
    <col min="4" max="4" width="12.42578125" style="61" bestFit="1" customWidth="1"/>
    <col min="5" max="5" width="12" style="61" bestFit="1" customWidth="1"/>
    <col min="6" max="6" width="10.7109375" style="61" customWidth="1"/>
    <col min="7" max="7" width="12.42578125" style="61" bestFit="1" customWidth="1"/>
    <col min="8" max="9" width="9.42578125" style="61" customWidth="1"/>
    <col min="10" max="10" width="14.140625" style="61" bestFit="1" customWidth="1"/>
    <col min="11" max="11" width="5" style="61" bestFit="1" customWidth="1"/>
    <col min="12" max="12" width="14.85546875" style="61" bestFit="1" customWidth="1"/>
    <col min="13" max="13" width="3.7109375" style="61" bestFit="1" customWidth="1"/>
    <col min="14" max="14" width="8.85546875" style="61" bestFit="1" customWidth="1"/>
    <col min="15" max="15" width="3.7109375" style="61" bestFit="1" customWidth="1"/>
    <col min="16" max="16" width="7.42578125" style="61" bestFit="1" customWidth="1"/>
    <col min="17" max="17" width="3.7109375" style="61" bestFit="1" customWidth="1"/>
    <col min="18" max="18" width="6.85546875" style="61" bestFit="1" customWidth="1"/>
    <col min="19" max="16384" width="9.140625" style="61"/>
  </cols>
  <sheetData>
    <row r="2" spans="1:17" ht="15.75" x14ac:dyDescent="0.25">
      <c r="A2" s="80" t="s">
        <v>0</v>
      </c>
    </row>
    <row r="6" spans="1:17" x14ac:dyDescent="0.2">
      <c r="A6" s="79" t="s">
        <v>85</v>
      </c>
    </row>
    <row r="7" spans="1:17" x14ac:dyDescent="0.2">
      <c r="A7" s="68" t="s">
        <v>4</v>
      </c>
      <c r="E7" s="65">
        <f>Parameters!U7</f>
        <v>0</v>
      </c>
      <c r="F7" s="69" t="s">
        <v>86</v>
      </c>
    </row>
    <row r="8" spans="1:17" x14ac:dyDescent="0.2">
      <c r="A8" s="68" t="s">
        <v>5</v>
      </c>
      <c r="E8" s="69">
        <f>total!F18</f>
        <v>1025</v>
      </c>
      <c r="F8" s="69" t="s">
        <v>11</v>
      </c>
      <c r="Q8" s="78"/>
    </row>
    <row r="9" spans="1:17" x14ac:dyDescent="0.2">
      <c r="A9" s="68" t="s">
        <v>9</v>
      </c>
      <c r="E9" s="69">
        <f>total!F17</f>
        <v>1</v>
      </c>
      <c r="F9" s="69" t="s">
        <v>73</v>
      </c>
    </row>
    <row r="10" spans="1:17" x14ac:dyDescent="0.2">
      <c r="A10" s="68" t="s">
        <v>6</v>
      </c>
      <c r="E10" s="65">
        <f>Parameters!U8</f>
        <v>0</v>
      </c>
      <c r="F10" s="69" t="s">
        <v>12</v>
      </c>
    </row>
    <row r="11" spans="1:17" x14ac:dyDescent="0.2">
      <c r="A11" s="68" t="s">
        <v>7</v>
      </c>
      <c r="E11" s="69">
        <f>VLOOKUP(H11,'pipe dimensions'!A1:D21,K11+1)</f>
        <v>400</v>
      </c>
      <c r="F11" s="69" t="s">
        <v>13</v>
      </c>
      <c r="G11" s="78" t="s">
        <v>68</v>
      </c>
      <c r="H11" s="78">
        <v>400</v>
      </c>
      <c r="J11" s="61" t="s">
        <v>72</v>
      </c>
      <c r="K11" s="65">
        <f>Parameters!U10</f>
        <v>0</v>
      </c>
      <c r="L11" s="61" t="s">
        <v>74</v>
      </c>
    </row>
    <row r="12" spans="1:17" x14ac:dyDescent="0.2">
      <c r="A12" s="68" t="s">
        <v>14</v>
      </c>
      <c r="E12" s="65">
        <f>Parameters!U9</f>
        <v>0</v>
      </c>
      <c r="F12" s="69"/>
      <c r="G12" s="78" t="s">
        <v>24</v>
      </c>
      <c r="H12" s="78">
        <v>0.15</v>
      </c>
      <c r="I12" s="61" t="s">
        <v>13</v>
      </c>
      <c r="J12" s="78" t="s">
        <v>25</v>
      </c>
      <c r="K12" s="78">
        <v>0.02</v>
      </c>
      <c r="L12" s="61" t="s">
        <v>13</v>
      </c>
    </row>
    <row r="13" spans="1:17" x14ac:dyDescent="0.2">
      <c r="A13" s="68" t="s">
        <v>8</v>
      </c>
      <c r="E13" s="69">
        <f>IF(E10&gt;0,D51,0)</f>
        <v>0</v>
      </c>
      <c r="F13" s="69"/>
    </row>
    <row r="15" spans="1:17" x14ac:dyDescent="0.2">
      <c r="A15" s="68" t="s">
        <v>1</v>
      </c>
      <c r="H15" s="69"/>
    </row>
    <row r="16" spans="1:17" x14ac:dyDescent="0.2">
      <c r="A16" s="67" t="s">
        <v>3</v>
      </c>
      <c r="D16" s="68" t="s">
        <v>75</v>
      </c>
      <c r="H16" s="74">
        <f>E7/3600/(0.785*(0.001*E11)*(0.001*E11))</f>
        <v>0</v>
      </c>
      <c r="I16" s="69" t="s">
        <v>2</v>
      </c>
    </row>
    <row r="17" spans="1:12" x14ac:dyDescent="0.2">
      <c r="A17" s="67" t="s">
        <v>10</v>
      </c>
      <c r="D17" s="68" t="s">
        <v>76</v>
      </c>
      <c r="H17" s="74">
        <f>H16*0.001*E11/E9*1000000</f>
        <v>0</v>
      </c>
      <c r="I17" s="77">
        <f>H17</f>
        <v>0</v>
      </c>
    </row>
    <row r="18" spans="1:12" x14ac:dyDescent="0.2">
      <c r="A18" s="67" t="s">
        <v>32</v>
      </c>
      <c r="D18" s="68"/>
      <c r="H18" s="76">
        <f>H12/E11</f>
        <v>3.7500000000000001E-4</v>
      </c>
      <c r="I18" s="69"/>
    </row>
    <row r="19" spans="1:12" x14ac:dyDescent="0.2">
      <c r="A19" s="67" t="s">
        <v>26</v>
      </c>
      <c r="D19" s="68"/>
      <c r="H19" s="74">
        <f>H17*H12/E11</f>
        <v>0</v>
      </c>
      <c r="I19" s="69"/>
    </row>
    <row r="20" spans="1:12" x14ac:dyDescent="0.2">
      <c r="A20" s="67"/>
      <c r="D20" s="68"/>
      <c r="H20" s="74"/>
      <c r="I20" s="69"/>
    </row>
    <row r="21" spans="1:12" x14ac:dyDescent="0.2">
      <c r="A21" s="67" t="s">
        <v>78</v>
      </c>
      <c r="D21" s="61" t="s">
        <v>77</v>
      </c>
      <c r="H21" s="76">
        <f>IF((E7&gt;0),64/H17,0)</f>
        <v>0</v>
      </c>
      <c r="I21" s="69"/>
    </row>
    <row r="22" spans="1:12" x14ac:dyDescent="0.2">
      <c r="A22" s="67" t="s">
        <v>80</v>
      </c>
      <c r="D22" s="61" t="s">
        <v>79</v>
      </c>
      <c r="H22" s="76">
        <f>IF((E7&gt;0),(0.0055*(1+(20000*IF(E12&gt;1,K12/1000,H12/1000)/(0.001*E11)+1000000/H17)^0.333333)),0)</f>
        <v>0</v>
      </c>
      <c r="I22" s="69"/>
    </row>
    <row r="23" spans="1:12" x14ac:dyDescent="0.2">
      <c r="A23" s="61" t="s">
        <v>82</v>
      </c>
      <c r="D23" s="61" t="s">
        <v>81</v>
      </c>
      <c r="H23" s="75">
        <f>((IF(H17&gt;2320,H22,H21))*E10/(0.001*E11)+E13)*E8*H16*H16/(2*100000)</f>
        <v>0</v>
      </c>
      <c r="I23" s="69" t="s">
        <v>52</v>
      </c>
      <c r="J23" s="61" t="s">
        <v>19</v>
      </c>
    </row>
    <row r="24" spans="1:12" x14ac:dyDescent="0.2">
      <c r="H24" s="74">
        <f>+H23*100/(9.81)</f>
        <v>0</v>
      </c>
      <c r="I24" s="69" t="s">
        <v>15</v>
      </c>
      <c r="J24" s="61" t="s">
        <v>20</v>
      </c>
    </row>
    <row r="25" spans="1:12" x14ac:dyDescent="0.2">
      <c r="H25" s="69" t="s">
        <v>16</v>
      </c>
      <c r="I25" s="69"/>
    </row>
    <row r="26" spans="1:12" s="73" customFormat="1" hidden="1" x14ac:dyDescent="0.2"/>
    <row r="27" spans="1:12" hidden="1" x14ac:dyDescent="0.2"/>
    <row r="28" spans="1:12" hidden="1" x14ac:dyDescent="0.2">
      <c r="A28" s="61" t="s">
        <v>41</v>
      </c>
      <c r="D28" s="61" t="s">
        <v>18</v>
      </c>
      <c r="H28" s="61" t="s">
        <v>21</v>
      </c>
      <c r="L28" s="61" t="s">
        <v>23</v>
      </c>
    </row>
    <row r="29" spans="1:12" hidden="1" x14ac:dyDescent="0.2">
      <c r="D29" s="72" t="s">
        <v>22</v>
      </c>
      <c r="F29" s="61" t="s">
        <v>42</v>
      </c>
      <c r="H29" s="71" t="s">
        <v>35</v>
      </c>
      <c r="L29" s="70" t="s">
        <v>36</v>
      </c>
    </row>
    <row r="30" spans="1:12" hidden="1" x14ac:dyDescent="0.2">
      <c r="B30" s="61" t="s">
        <v>28</v>
      </c>
    </row>
    <row r="31" spans="1:12" hidden="1" x14ac:dyDescent="0.2">
      <c r="C31" s="61" t="s">
        <v>27</v>
      </c>
      <c r="D31" s="69" t="e">
        <f>0.3164*H17^-0.25</f>
        <v>#DIV/0!</v>
      </c>
      <c r="E31" s="61" t="s">
        <v>39</v>
      </c>
      <c r="F31" s="61" t="s">
        <v>43</v>
      </c>
      <c r="G31" s="61" t="s">
        <v>30</v>
      </c>
      <c r="H31" s="61">
        <f>(1/(2*LOG10((E11/H12))+1.14))^2</f>
        <v>1.5656541953882296E-2</v>
      </c>
      <c r="I31" s="61" t="s">
        <v>37</v>
      </c>
      <c r="K31" s="61" t="s">
        <v>34</v>
      </c>
      <c r="L31" s="61" t="e">
        <f>1/(-2*LOG10(H12/(3.72*E11)+2.51/H17*((H17*E11/H12)^0.0625)*(1/0.48)))^2</f>
        <v>#DIV/0!</v>
      </c>
    </row>
    <row r="32" spans="1:12" hidden="1" x14ac:dyDescent="0.2">
      <c r="C32" s="61" t="s">
        <v>29</v>
      </c>
      <c r="D32" s="61" t="e">
        <f>0.0032+0.221*H17^-0.237</f>
        <v>#DIV/0!</v>
      </c>
      <c r="E32" s="61" t="s">
        <v>37</v>
      </c>
      <c r="F32" s="61" t="s">
        <v>44</v>
      </c>
      <c r="G32" s="61" t="s">
        <v>31</v>
      </c>
      <c r="H32" s="61">
        <f>0.0055+0.15*(H12/E11)^(1/3)</f>
        <v>1.6316871777305564E-2</v>
      </c>
      <c r="I32" s="61" t="s">
        <v>38</v>
      </c>
    </row>
    <row r="33" spans="1:12" hidden="1" x14ac:dyDescent="0.2">
      <c r="C33" s="61" t="s">
        <v>33</v>
      </c>
      <c r="D33" s="61" t="e">
        <f>0.0054+0.3964/H17^0.3</f>
        <v>#DIV/0!</v>
      </c>
      <c r="E33" s="61" t="s">
        <v>40</v>
      </c>
      <c r="F33" s="61" t="s">
        <v>45</v>
      </c>
    </row>
    <row r="34" spans="1:12" hidden="1" x14ac:dyDescent="0.2"/>
    <row r="36" spans="1:12" x14ac:dyDescent="0.2">
      <c r="A36" s="68" t="s">
        <v>47</v>
      </c>
      <c r="B36" s="61" t="s">
        <v>49</v>
      </c>
      <c r="C36" s="61" t="s">
        <v>48</v>
      </c>
      <c r="D36" s="61" t="s">
        <v>50</v>
      </c>
      <c r="F36" s="61" t="s">
        <v>58</v>
      </c>
    </row>
    <row r="37" spans="1:12" x14ac:dyDescent="0.2">
      <c r="A37" s="67" t="s">
        <v>53</v>
      </c>
      <c r="B37" s="65">
        <f>Parameters!U11</f>
        <v>0</v>
      </c>
      <c r="C37" s="62">
        <v>5</v>
      </c>
      <c r="D37" s="62">
        <f t="shared" ref="D37:D49" si="0">B37*C37</f>
        <v>0</v>
      </c>
    </row>
    <row r="38" spans="1:12" x14ac:dyDescent="0.2">
      <c r="A38" s="67" t="s">
        <v>54</v>
      </c>
      <c r="B38" s="65">
        <f>Parameters!U12</f>
        <v>0</v>
      </c>
      <c r="C38" s="62">
        <v>0.5</v>
      </c>
      <c r="D38" s="62">
        <f t="shared" si="0"/>
        <v>0</v>
      </c>
      <c r="I38" s="63"/>
    </row>
    <row r="39" spans="1:12" x14ac:dyDescent="0.2">
      <c r="A39" s="67" t="s">
        <v>62</v>
      </c>
      <c r="B39" s="65">
        <f>Parameters!U13</f>
        <v>0</v>
      </c>
      <c r="C39" s="62">
        <v>4</v>
      </c>
      <c r="D39" s="62">
        <f t="shared" si="0"/>
        <v>0</v>
      </c>
      <c r="I39" s="63"/>
    </row>
    <row r="40" spans="1:12" x14ac:dyDescent="0.2">
      <c r="A40" s="61" t="s">
        <v>94</v>
      </c>
      <c r="B40" s="65">
        <f>Parameters!U14</f>
        <v>0</v>
      </c>
      <c r="C40" s="62">
        <v>5</v>
      </c>
      <c r="D40" s="62">
        <f t="shared" si="0"/>
        <v>0</v>
      </c>
      <c r="I40" s="63"/>
    </row>
    <row r="41" spans="1:12" x14ac:dyDescent="0.2">
      <c r="A41" s="66" t="s">
        <v>95</v>
      </c>
      <c r="B41" s="65">
        <f>Parameters!U15</f>
        <v>0</v>
      </c>
      <c r="C41" s="62">
        <v>0.5</v>
      </c>
      <c r="D41" s="62">
        <f t="shared" si="0"/>
        <v>0</v>
      </c>
      <c r="I41" s="63"/>
    </row>
    <row r="42" spans="1:12" x14ac:dyDescent="0.2">
      <c r="A42" s="61" t="s">
        <v>63</v>
      </c>
      <c r="B42" s="65">
        <f>Parameters!U16</f>
        <v>0</v>
      </c>
      <c r="C42" s="62">
        <v>0.5</v>
      </c>
      <c r="D42" s="62">
        <f t="shared" si="0"/>
        <v>0</v>
      </c>
      <c r="L42" s="63"/>
    </row>
    <row r="43" spans="1:12" x14ac:dyDescent="0.2">
      <c r="A43" s="61" t="s">
        <v>64</v>
      </c>
      <c r="B43" s="65">
        <f>Parameters!U17</f>
        <v>0</v>
      </c>
      <c r="C43" s="62">
        <v>1</v>
      </c>
      <c r="D43" s="62">
        <f t="shared" si="0"/>
        <v>0</v>
      </c>
      <c r="L43" s="63"/>
    </row>
    <row r="44" spans="1:12" x14ac:dyDescent="0.2">
      <c r="A44" s="61" t="s">
        <v>51</v>
      </c>
      <c r="B44" s="65">
        <f>Parameters!U18</f>
        <v>0</v>
      </c>
      <c r="C44" s="62">
        <f>IF(H17&gt;2300,0.35,3.5)</f>
        <v>3.5</v>
      </c>
      <c r="D44" s="62">
        <f t="shared" si="0"/>
        <v>0</v>
      </c>
      <c r="F44" s="61" t="s">
        <v>89</v>
      </c>
      <c r="L44" s="63"/>
    </row>
    <row r="45" spans="1:12" x14ac:dyDescent="0.2">
      <c r="A45" s="61" t="s">
        <v>59</v>
      </c>
      <c r="B45" s="65">
        <f>Parameters!U19</f>
        <v>0</v>
      </c>
      <c r="C45" s="62">
        <v>1</v>
      </c>
      <c r="D45" s="62">
        <f t="shared" si="0"/>
        <v>0</v>
      </c>
      <c r="I45" s="63"/>
    </row>
    <row r="46" spans="1:12" x14ac:dyDescent="0.2">
      <c r="A46" s="61" t="s">
        <v>60</v>
      </c>
      <c r="B46" s="65">
        <f>Parameters!U20</f>
        <v>0</v>
      </c>
      <c r="C46" s="62">
        <v>0.1</v>
      </c>
      <c r="D46" s="62">
        <f t="shared" si="0"/>
        <v>0</v>
      </c>
      <c r="I46" s="63"/>
    </row>
    <row r="47" spans="1:12" x14ac:dyDescent="0.2">
      <c r="A47" s="61" t="s">
        <v>56</v>
      </c>
      <c r="B47" s="65">
        <f>Parameters!U21</f>
        <v>0</v>
      </c>
      <c r="C47" s="62">
        <v>1</v>
      </c>
      <c r="D47" s="62">
        <f t="shared" si="0"/>
        <v>0</v>
      </c>
      <c r="I47" s="63"/>
    </row>
    <row r="48" spans="1:12" x14ac:dyDescent="0.2">
      <c r="A48" s="61" t="s">
        <v>57</v>
      </c>
      <c r="B48" s="65">
        <f>Parameters!U22</f>
        <v>0</v>
      </c>
      <c r="C48" s="62">
        <v>6</v>
      </c>
      <c r="D48" s="62">
        <f t="shared" si="0"/>
        <v>0</v>
      </c>
      <c r="I48" s="63"/>
    </row>
    <row r="49" spans="1:9" x14ac:dyDescent="0.2">
      <c r="A49" s="61" t="s">
        <v>61</v>
      </c>
      <c r="B49" s="65">
        <f>Parameters!U23</f>
        <v>0</v>
      </c>
      <c r="C49" s="62">
        <v>0.2</v>
      </c>
      <c r="D49" s="62">
        <f t="shared" si="0"/>
        <v>0</v>
      </c>
      <c r="I49" s="63"/>
    </row>
    <row r="50" spans="1:9" x14ac:dyDescent="0.2">
      <c r="B50" s="64"/>
      <c r="C50" s="62"/>
      <c r="D50" s="62"/>
      <c r="I50" s="63"/>
    </row>
    <row r="51" spans="1:9" x14ac:dyDescent="0.2">
      <c r="A51" s="61" t="s">
        <v>46</v>
      </c>
      <c r="B51" s="62"/>
      <c r="C51" s="62"/>
      <c r="D51" s="62">
        <f>SUM(D37:D50)</f>
        <v>0</v>
      </c>
    </row>
  </sheetData>
  <conditionalFormatting sqref="D28">
    <cfRule type="cellIs" dxfId="27" priority="1" stopIfTrue="1" operator="lessThan">
      <formula>65</formula>
    </cfRule>
  </conditionalFormatting>
  <conditionalFormatting sqref="E7 E12 E10 K11 B37:B49">
    <cfRule type="cellIs" dxfId="26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8">
    <pageSetUpPr fitToPage="1"/>
  </sheetPr>
  <dimension ref="A2:Q51"/>
  <sheetViews>
    <sheetView workbookViewId="0">
      <selection activeCell="E9" sqref="E9"/>
    </sheetView>
  </sheetViews>
  <sheetFormatPr defaultRowHeight="12.75" x14ac:dyDescent="0.2"/>
  <cols>
    <col min="1" max="1" width="12.140625" style="61" customWidth="1"/>
    <col min="2" max="3" width="9.140625" style="61"/>
    <col min="4" max="4" width="12.42578125" style="61" bestFit="1" customWidth="1"/>
    <col min="5" max="5" width="12" style="61" bestFit="1" customWidth="1"/>
    <col min="6" max="6" width="10.7109375" style="61" customWidth="1"/>
    <col min="7" max="7" width="12.42578125" style="61" bestFit="1" customWidth="1"/>
    <col min="8" max="9" width="9.42578125" style="61" customWidth="1"/>
    <col min="10" max="10" width="14.140625" style="61" bestFit="1" customWidth="1"/>
    <col min="11" max="11" width="5" style="61" bestFit="1" customWidth="1"/>
    <col min="12" max="12" width="14.85546875" style="61" bestFit="1" customWidth="1"/>
    <col min="13" max="13" width="3.7109375" style="61" bestFit="1" customWidth="1"/>
    <col min="14" max="14" width="8.85546875" style="61" bestFit="1" customWidth="1"/>
    <col min="15" max="15" width="3.7109375" style="61" bestFit="1" customWidth="1"/>
    <col min="16" max="16" width="7.42578125" style="61" bestFit="1" customWidth="1"/>
    <col min="17" max="17" width="3.7109375" style="61" bestFit="1" customWidth="1"/>
    <col min="18" max="18" width="6.85546875" style="61" bestFit="1" customWidth="1"/>
    <col min="19" max="16384" width="9.140625" style="61"/>
  </cols>
  <sheetData>
    <row r="2" spans="1:17" ht="15.75" x14ac:dyDescent="0.25">
      <c r="A2" s="80" t="s">
        <v>0</v>
      </c>
    </row>
    <row r="6" spans="1:17" x14ac:dyDescent="0.2">
      <c r="A6" s="79" t="s">
        <v>85</v>
      </c>
    </row>
    <row r="7" spans="1:17" x14ac:dyDescent="0.2">
      <c r="A7" s="68" t="s">
        <v>4</v>
      </c>
      <c r="E7" s="65">
        <f>Parameters!V7</f>
        <v>0</v>
      </c>
      <c r="F7" s="69" t="s">
        <v>86</v>
      </c>
    </row>
    <row r="8" spans="1:17" x14ac:dyDescent="0.2">
      <c r="A8" s="68" t="s">
        <v>5</v>
      </c>
      <c r="E8" s="69">
        <f>total!F18</f>
        <v>1025</v>
      </c>
      <c r="F8" s="69" t="s">
        <v>11</v>
      </c>
      <c r="Q8" s="78"/>
    </row>
    <row r="9" spans="1:17" x14ac:dyDescent="0.2">
      <c r="A9" s="68" t="s">
        <v>9</v>
      </c>
      <c r="E9" s="69">
        <f>total!F17</f>
        <v>1</v>
      </c>
      <c r="F9" s="69" t="s">
        <v>73</v>
      </c>
    </row>
    <row r="10" spans="1:17" x14ac:dyDescent="0.2">
      <c r="A10" s="68" t="s">
        <v>6</v>
      </c>
      <c r="E10" s="65">
        <f>Parameters!V8</f>
        <v>0</v>
      </c>
      <c r="F10" s="69" t="s">
        <v>12</v>
      </c>
    </row>
    <row r="11" spans="1:17" x14ac:dyDescent="0.2">
      <c r="A11" s="68" t="s">
        <v>7</v>
      </c>
      <c r="E11" s="69">
        <f>VLOOKUP(H11,'pipe dimensions'!A1:D21,K11+1)</f>
        <v>350</v>
      </c>
      <c r="F11" s="69" t="s">
        <v>13</v>
      </c>
      <c r="G11" s="78" t="s">
        <v>68</v>
      </c>
      <c r="H11" s="78">
        <v>350</v>
      </c>
      <c r="J11" s="61" t="s">
        <v>72</v>
      </c>
      <c r="K11" s="65">
        <f>Parameters!V10</f>
        <v>0</v>
      </c>
      <c r="L11" s="61" t="s">
        <v>74</v>
      </c>
    </row>
    <row r="12" spans="1:17" x14ac:dyDescent="0.2">
      <c r="A12" s="68" t="s">
        <v>14</v>
      </c>
      <c r="E12" s="65">
        <f>Parameters!V9</f>
        <v>0</v>
      </c>
      <c r="F12" s="69"/>
      <c r="G12" s="78" t="s">
        <v>24</v>
      </c>
      <c r="H12" s="78">
        <v>0.15</v>
      </c>
      <c r="I12" s="61" t="s">
        <v>13</v>
      </c>
      <c r="J12" s="78" t="s">
        <v>25</v>
      </c>
      <c r="K12" s="78">
        <v>0.02</v>
      </c>
      <c r="L12" s="61" t="s">
        <v>13</v>
      </c>
    </row>
    <row r="13" spans="1:17" x14ac:dyDescent="0.2">
      <c r="A13" s="68" t="s">
        <v>8</v>
      </c>
      <c r="E13" s="69">
        <f>IF(E10&gt;0,D51,0)</f>
        <v>0</v>
      </c>
      <c r="F13" s="69"/>
    </row>
    <row r="15" spans="1:17" x14ac:dyDescent="0.2">
      <c r="A15" s="68" t="s">
        <v>1</v>
      </c>
      <c r="H15" s="69"/>
    </row>
    <row r="16" spans="1:17" x14ac:dyDescent="0.2">
      <c r="A16" s="67" t="s">
        <v>3</v>
      </c>
      <c r="D16" s="68" t="s">
        <v>75</v>
      </c>
      <c r="H16" s="74">
        <f>E7/3600/(0.785*(0.001*E11)*(0.001*E11))</f>
        <v>0</v>
      </c>
      <c r="I16" s="69" t="s">
        <v>2</v>
      </c>
    </row>
    <row r="17" spans="1:12" x14ac:dyDescent="0.2">
      <c r="A17" s="67" t="s">
        <v>10</v>
      </c>
      <c r="D17" s="68" t="s">
        <v>76</v>
      </c>
      <c r="H17" s="74">
        <f>H16*0.001*E11/E9*1000000</f>
        <v>0</v>
      </c>
      <c r="I17" s="77">
        <f>H17</f>
        <v>0</v>
      </c>
    </row>
    <row r="18" spans="1:12" x14ac:dyDescent="0.2">
      <c r="A18" s="67" t="s">
        <v>32</v>
      </c>
      <c r="D18" s="68"/>
      <c r="H18" s="76">
        <f>H12/E11</f>
        <v>4.2857142857142855E-4</v>
      </c>
      <c r="I18" s="69"/>
    </row>
    <row r="19" spans="1:12" x14ac:dyDescent="0.2">
      <c r="A19" s="67" t="s">
        <v>26</v>
      </c>
      <c r="D19" s="68"/>
      <c r="H19" s="74">
        <f>H17*H12/E11</f>
        <v>0</v>
      </c>
      <c r="I19" s="69"/>
    </row>
    <row r="20" spans="1:12" x14ac:dyDescent="0.2">
      <c r="A20" s="67"/>
      <c r="D20" s="68"/>
      <c r="H20" s="74"/>
      <c r="I20" s="69"/>
    </row>
    <row r="21" spans="1:12" x14ac:dyDescent="0.2">
      <c r="A21" s="67" t="s">
        <v>78</v>
      </c>
      <c r="D21" s="61" t="s">
        <v>77</v>
      </c>
      <c r="H21" s="76">
        <f>IF((E7&gt;0),64/H17,0)</f>
        <v>0</v>
      </c>
      <c r="I21" s="69"/>
    </row>
    <row r="22" spans="1:12" x14ac:dyDescent="0.2">
      <c r="A22" s="67" t="s">
        <v>80</v>
      </c>
      <c r="D22" s="61" t="s">
        <v>79</v>
      </c>
      <c r="H22" s="76">
        <f>IF((E7&gt;0),(0.0055*(1+(20000*IF(E12&gt;1,K12/1000,H12/1000)/(0.001*E11)+1000000/H17)^0.333333)),0)</f>
        <v>0</v>
      </c>
      <c r="I22" s="69"/>
    </row>
    <row r="23" spans="1:12" x14ac:dyDescent="0.2">
      <c r="A23" s="61" t="s">
        <v>82</v>
      </c>
      <c r="D23" s="61" t="s">
        <v>81</v>
      </c>
      <c r="H23" s="75">
        <f>((IF(H17&gt;2320,H22,H21))*E10/(0.001*E11)+E13)*E8*H16*H16/(2*100000)</f>
        <v>0</v>
      </c>
      <c r="I23" s="69" t="s">
        <v>52</v>
      </c>
      <c r="J23" s="61" t="s">
        <v>19</v>
      </c>
    </row>
    <row r="24" spans="1:12" x14ac:dyDescent="0.2">
      <c r="H24" s="74">
        <f>+H23*100/(9.81)</f>
        <v>0</v>
      </c>
      <c r="I24" s="69" t="s">
        <v>15</v>
      </c>
      <c r="J24" s="61" t="s">
        <v>20</v>
      </c>
    </row>
    <row r="25" spans="1:12" x14ac:dyDescent="0.2">
      <c r="H25" s="69" t="s">
        <v>16</v>
      </c>
      <c r="I25" s="69"/>
    </row>
    <row r="26" spans="1:12" s="73" customFormat="1" hidden="1" x14ac:dyDescent="0.2"/>
    <row r="27" spans="1:12" hidden="1" x14ac:dyDescent="0.2"/>
    <row r="28" spans="1:12" hidden="1" x14ac:dyDescent="0.2">
      <c r="A28" s="61" t="s">
        <v>41</v>
      </c>
      <c r="D28" s="61" t="s">
        <v>18</v>
      </c>
      <c r="H28" s="61" t="s">
        <v>21</v>
      </c>
      <c r="L28" s="61" t="s">
        <v>23</v>
      </c>
    </row>
    <row r="29" spans="1:12" hidden="1" x14ac:dyDescent="0.2">
      <c r="D29" s="72" t="s">
        <v>22</v>
      </c>
      <c r="F29" s="61" t="s">
        <v>42</v>
      </c>
      <c r="H29" s="71" t="s">
        <v>35</v>
      </c>
      <c r="L29" s="70" t="s">
        <v>36</v>
      </c>
    </row>
    <row r="30" spans="1:12" hidden="1" x14ac:dyDescent="0.2">
      <c r="B30" s="61" t="s">
        <v>28</v>
      </c>
    </row>
    <row r="31" spans="1:12" hidden="1" x14ac:dyDescent="0.2">
      <c r="C31" s="61" t="s">
        <v>27</v>
      </c>
      <c r="D31" s="69" t="e">
        <f>0.3164*H17^-0.25</f>
        <v>#DIV/0!</v>
      </c>
      <c r="E31" s="61" t="s">
        <v>39</v>
      </c>
      <c r="F31" s="61" t="s">
        <v>43</v>
      </c>
      <c r="G31" s="61" t="s">
        <v>30</v>
      </c>
      <c r="H31" s="61">
        <f>(1/(2*LOG10((E11/H12))+1.14))^2</f>
        <v>1.6121064124121585E-2</v>
      </c>
      <c r="I31" s="61" t="s">
        <v>37</v>
      </c>
      <c r="K31" s="61" t="s">
        <v>34</v>
      </c>
      <c r="L31" s="61" t="e">
        <f>1/(-2*LOG10(H12/(3.72*E11)+2.51/H17*((H17*E11/H12)^0.0625)*(1/0.48)))^2</f>
        <v>#DIV/0!</v>
      </c>
    </row>
    <row r="32" spans="1:12" hidden="1" x14ac:dyDescent="0.2">
      <c r="C32" s="61" t="s">
        <v>29</v>
      </c>
      <c r="D32" s="61" t="e">
        <f>0.0032+0.221*H17^-0.237</f>
        <v>#DIV/0!</v>
      </c>
      <c r="E32" s="61" t="s">
        <v>37</v>
      </c>
      <c r="F32" s="61" t="s">
        <v>44</v>
      </c>
      <c r="G32" s="61" t="s">
        <v>31</v>
      </c>
      <c r="H32" s="61">
        <f>0.0055+0.15*(H12/E11)^(1/3)</f>
        <v>1.6809211616937308E-2</v>
      </c>
      <c r="I32" s="61" t="s">
        <v>38</v>
      </c>
    </row>
    <row r="33" spans="1:12" hidden="1" x14ac:dyDescent="0.2">
      <c r="C33" s="61" t="s">
        <v>33</v>
      </c>
      <c r="D33" s="61" t="e">
        <f>0.0054+0.3964/H17^0.3</f>
        <v>#DIV/0!</v>
      </c>
      <c r="E33" s="61" t="s">
        <v>40</v>
      </c>
      <c r="F33" s="61" t="s">
        <v>45</v>
      </c>
    </row>
    <row r="34" spans="1:12" hidden="1" x14ac:dyDescent="0.2"/>
    <row r="36" spans="1:12" x14ac:dyDescent="0.2">
      <c r="A36" s="68" t="s">
        <v>47</v>
      </c>
      <c r="B36" s="61" t="s">
        <v>49</v>
      </c>
      <c r="C36" s="61" t="s">
        <v>48</v>
      </c>
      <c r="D36" s="61" t="s">
        <v>50</v>
      </c>
      <c r="F36" s="61" t="s">
        <v>58</v>
      </c>
    </row>
    <row r="37" spans="1:12" x14ac:dyDescent="0.2">
      <c r="A37" s="67" t="s">
        <v>53</v>
      </c>
      <c r="B37" s="65">
        <f>Parameters!V11</f>
        <v>0</v>
      </c>
      <c r="C37" s="62">
        <v>5</v>
      </c>
      <c r="D37" s="62">
        <f t="shared" ref="D37:D49" si="0">B37*C37</f>
        <v>0</v>
      </c>
    </row>
    <row r="38" spans="1:12" x14ac:dyDescent="0.2">
      <c r="A38" s="67" t="s">
        <v>54</v>
      </c>
      <c r="B38" s="65">
        <f>Parameters!V12</f>
        <v>0</v>
      </c>
      <c r="C38" s="62">
        <v>0.5</v>
      </c>
      <c r="D38" s="62">
        <f t="shared" si="0"/>
        <v>0</v>
      </c>
      <c r="I38" s="63"/>
    </row>
    <row r="39" spans="1:12" x14ac:dyDescent="0.2">
      <c r="A39" s="67" t="s">
        <v>62</v>
      </c>
      <c r="B39" s="65">
        <f>Parameters!V13</f>
        <v>0</v>
      </c>
      <c r="C39" s="62">
        <v>4</v>
      </c>
      <c r="D39" s="62">
        <f t="shared" si="0"/>
        <v>0</v>
      </c>
      <c r="I39" s="63"/>
    </row>
    <row r="40" spans="1:12" x14ac:dyDescent="0.2">
      <c r="A40" s="61" t="s">
        <v>94</v>
      </c>
      <c r="B40" s="65">
        <f>Parameters!V14</f>
        <v>0</v>
      </c>
      <c r="C40" s="62">
        <v>5</v>
      </c>
      <c r="D40" s="62">
        <f t="shared" si="0"/>
        <v>0</v>
      </c>
      <c r="I40" s="63"/>
    </row>
    <row r="41" spans="1:12" x14ac:dyDescent="0.2">
      <c r="A41" s="66" t="s">
        <v>95</v>
      </c>
      <c r="B41" s="65">
        <f>Parameters!V15</f>
        <v>0</v>
      </c>
      <c r="C41" s="62">
        <v>0.5</v>
      </c>
      <c r="D41" s="62">
        <f t="shared" si="0"/>
        <v>0</v>
      </c>
      <c r="I41" s="63"/>
    </row>
    <row r="42" spans="1:12" x14ac:dyDescent="0.2">
      <c r="A42" s="61" t="s">
        <v>63</v>
      </c>
      <c r="B42" s="65">
        <f>Parameters!V16</f>
        <v>0</v>
      </c>
      <c r="C42" s="62">
        <v>0.5</v>
      </c>
      <c r="D42" s="62">
        <f t="shared" si="0"/>
        <v>0</v>
      </c>
      <c r="L42" s="63"/>
    </row>
    <row r="43" spans="1:12" x14ac:dyDescent="0.2">
      <c r="A43" s="61" t="s">
        <v>64</v>
      </c>
      <c r="B43" s="65">
        <f>Parameters!V17</f>
        <v>0</v>
      </c>
      <c r="C43" s="62">
        <v>1</v>
      </c>
      <c r="D43" s="62">
        <f t="shared" si="0"/>
        <v>0</v>
      </c>
      <c r="L43" s="63"/>
    </row>
    <row r="44" spans="1:12" x14ac:dyDescent="0.2">
      <c r="A44" s="61" t="s">
        <v>51</v>
      </c>
      <c r="B44" s="65">
        <f>Parameters!V18</f>
        <v>0</v>
      </c>
      <c r="C44" s="62">
        <f>IF(H17&gt;2300,0.35,3.5)</f>
        <v>3.5</v>
      </c>
      <c r="D44" s="62">
        <f t="shared" si="0"/>
        <v>0</v>
      </c>
      <c r="F44" s="61" t="s">
        <v>89</v>
      </c>
      <c r="L44" s="63"/>
    </row>
    <row r="45" spans="1:12" x14ac:dyDescent="0.2">
      <c r="A45" s="61" t="s">
        <v>59</v>
      </c>
      <c r="B45" s="65">
        <f>Parameters!V19</f>
        <v>0</v>
      </c>
      <c r="C45" s="62">
        <v>1</v>
      </c>
      <c r="D45" s="62">
        <f t="shared" si="0"/>
        <v>0</v>
      </c>
      <c r="I45" s="63"/>
    </row>
    <row r="46" spans="1:12" x14ac:dyDescent="0.2">
      <c r="A46" s="61" t="s">
        <v>60</v>
      </c>
      <c r="B46" s="65">
        <f>Parameters!V20</f>
        <v>0</v>
      </c>
      <c r="C46" s="62">
        <v>0.1</v>
      </c>
      <c r="D46" s="62">
        <f t="shared" si="0"/>
        <v>0</v>
      </c>
      <c r="I46" s="63"/>
    </row>
    <row r="47" spans="1:12" x14ac:dyDescent="0.2">
      <c r="A47" s="61" t="s">
        <v>56</v>
      </c>
      <c r="B47" s="65">
        <f>Parameters!V21</f>
        <v>0</v>
      </c>
      <c r="C47" s="62">
        <v>1</v>
      </c>
      <c r="D47" s="62">
        <f t="shared" si="0"/>
        <v>0</v>
      </c>
      <c r="I47" s="63"/>
    </row>
    <row r="48" spans="1:12" x14ac:dyDescent="0.2">
      <c r="A48" s="61" t="s">
        <v>57</v>
      </c>
      <c r="B48" s="65">
        <f>Parameters!V22</f>
        <v>0</v>
      </c>
      <c r="C48" s="62">
        <v>6</v>
      </c>
      <c r="D48" s="62">
        <f t="shared" si="0"/>
        <v>0</v>
      </c>
      <c r="I48" s="63"/>
    </row>
    <row r="49" spans="1:9" x14ac:dyDescent="0.2">
      <c r="A49" s="61" t="s">
        <v>61</v>
      </c>
      <c r="B49" s="65">
        <f>Parameters!V23</f>
        <v>0</v>
      </c>
      <c r="C49" s="62">
        <v>0.2</v>
      </c>
      <c r="D49" s="62">
        <f t="shared" si="0"/>
        <v>0</v>
      </c>
      <c r="I49" s="63"/>
    </row>
    <row r="50" spans="1:9" x14ac:dyDescent="0.2">
      <c r="B50" s="64"/>
      <c r="C50" s="62"/>
      <c r="D50" s="62"/>
      <c r="I50" s="63"/>
    </row>
    <row r="51" spans="1:9" x14ac:dyDescent="0.2">
      <c r="A51" s="61" t="s">
        <v>46</v>
      </c>
      <c r="B51" s="62"/>
      <c r="C51" s="62"/>
      <c r="D51" s="62">
        <f>SUM(D37:D50)</f>
        <v>0</v>
      </c>
    </row>
  </sheetData>
  <conditionalFormatting sqref="D28">
    <cfRule type="cellIs" dxfId="25" priority="1" stopIfTrue="1" operator="lessThan">
      <formula>65</formula>
    </cfRule>
  </conditionalFormatting>
  <conditionalFormatting sqref="E7 E12 E10 K11 B37:B49">
    <cfRule type="cellIs" dxfId="24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9">
    <pageSetUpPr fitToPage="1"/>
  </sheetPr>
  <dimension ref="A2:Q51"/>
  <sheetViews>
    <sheetView workbookViewId="0">
      <selection activeCell="E9" sqref="E9"/>
    </sheetView>
  </sheetViews>
  <sheetFormatPr defaultRowHeight="12.75" x14ac:dyDescent="0.2"/>
  <cols>
    <col min="1" max="1" width="12.140625" style="61" customWidth="1"/>
    <col min="2" max="3" width="9.140625" style="61"/>
    <col min="4" max="4" width="12.42578125" style="61" bestFit="1" customWidth="1"/>
    <col min="5" max="5" width="12" style="61" bestFit="1" customWidth="1"/>
    <col min="6" max="6" width="10.7109375" style="61" customWidth="1"/>
    <col min="7" max="7" width="12.42578125" style="61" bestFit="1" customWidth="1"/>
    <col min="8" max="9" width="9.42578125" style="61" customWidth="1"/>
    <col min="10" max="10" width="14.140625" style="61" bestFit="1" customWidth="1"/>
    <col min="11" max="11" width="5" style="61" bestFit="1" customWidth="1"/>
    <col min="12" max="12" width="14.85546875" style="61" bestFit="1" customWidth="1"/>
    <col min="13" max="13" width="3.7109375" style="61" bestFit="1" customWidth="1"/>
    <col min="14" max="14" width="8.85546875" style="61" bestFit="1" customWidth="1"/>
    <col min="15" max="15" width="3.7109375" style="61" bestFit="1" customWidth="1"/>
    <col min="16" max="16" width="7.42578125" style="61" bestFit="1" customWidth="1"/>
    <col min="17" max="17" width="3.7109375" style="61" bestFit="1" customWidth="1"/>
    <col min="18" max="18" width="6.85546875" style="61" bestFit="1" customWidth="1"/>
    <col min="19" max="16384" width="9.140625" style="61"/>
  </cols>
  <sheetData>
    <row r="2" spans="1:17" ht="15.75" x14ac:dyDescent="0.25">
      <c r="A2" s="80" t="s">
        <v>0</v>
      </c>
    </row>
    <row r="6" spans="1:17" x14ac:dyDescent="0.2">
      <c r="A6" s="79" t="s">
        <v>85</v>
      </c>
    </row>
    <row r="7" spans="1:17" x14ac:dyDescent="0.2">
      <c r="A7" s="68" t="s">
        <v>4</v>
      </c>
      <c r="E7" s="65">
        <f>Parameters!W7</f>
        <v>0</v>
      </c>
      <c r="F7" s="69" t="s">
        <v>86</v>
      </c>
    </row>
    <row r="8" spans="1:17" x14ac:dyDescent="0.2">
      <c r="A8" s="68" t="s">
        <v>5</v>
      </c>
      <c r="E8" s="69">
        <f>total!F18</f>
        <v>1025</v>
      </c>
      <c r="F8" s="69" t="s">
        <v>11</v>
      </c>
      <c r="Q8" s="78"/>
    </row>
    <row r="9" spans="1:17" x14ac:dyDescent="0.2">
      <c r="A9" s="68" t="s">
        <v>9</v>
      </c>
      <c r="E9" s="69">
        <f>total!F17</f>
        <v>1</v>
      </c>
      <c r="F9" s="69" t="s">
        <v>73</v>
      </c>
    </row>
    <row r="10" spans="1:17" x14ac:dyDescent="0.2">
      <c r="A10" s="68" t="s">
        <v>6</v>
      </c>
      <c r="E10" s="65">
        <f>Parameters!W8</f>
        <v>0</v>
      </c>
      <c r="F10" s="69" t="s">
        <v>12</v>
      </c>
    </row>
    <row r="11" spans="1:17" x14ac:dyDescent="0.2">
      <c r="A11" s="68" t="s">
        <v>7</v>
      </c>
      <c r="E11" s="69">
        <f>VLOOKUP(H11,'pipe dimensions'!A1:D21,K11+1)</f>
        <v>300</v>
      </c>
      <c r="F11" s="69" t="s">
        <v>13</v>
      </c>
      <c r="G11" s="78" t="s">
        <v>68</v>
      </c>
      <c r="H11" s="78">
        <v>300</v>
      </c>
      <c r="J11" s="61" t="s">
        <v>72</v>
      </c>
      <c r="K11" s="65">
        <f>Parameters!W10</f>
        <v>0</v>
      </c>
      <c r="L11" s="61" t="s">
        <v>74</v>
      </c>
    </row>
    <row r="12" spans="1:17" x14ac:dyDescent="0.2">
      <c r="A12" s="68" t="s">
        <v>14</v>
      </c>
      <c r="E12" s="65">
        <f>Parameters!W9</f>
        <v>0</v>
      </c>
      <c r="F12" s="69"/>
      <c r="G12" s="78" t="s">
        <v>24</v>
      </c>
      <c r="H12" s="78">
        <v>0.15</v>
      </c>
      <c r="I12" s="61" t="s">
        <v>13</v>
      </c>
      <c r="J12" s="78" t="s">
        <v>25</v>
      </c>
      <c r="K12" s="78">
        <v>0.02</v>
      </c>
      <c r="L12" s="61" t="s">
        <v>13</v>
      </c>
    </row>
    <row r="13" spans="1:17" x14ac:dyDescent="0.2">
      <c r="A13" s="68" t="s">
        <v>8</v>
      </c>
      <c r="E13" s="69">
        <f>IF(E10&gt;0,D51,0)</f>
        <v>0</v>
      </c>
      <c r="F13" s="69"/>
    </row>
    <row r="15" spans="1:17" x14ac:dyDescent="0.2">
      <c r="A15" s="68" t="s">
        <v>1</v>
      </c>
      <c r="H15" s="69"/>
    </row>
    <row r="16" spans="1:17" x14ac:dyDescent="0.2">
      <c r="A16" s="67" t="s">
        <v>3</v>
      </c>
      <c r="D16" s="68" t="s">
        <v>75</v>
      </c>
      <c r="H16" s="74">
        <f>E7/3600/(0.785*(0.001*E11)*(0.001*E11))</f>
        <v>0</v>
      </c>
      <c r="I16" s="69" t="s">
        <v>2</v>
      </c>
    </row>
    <row r="17" spans="1:12" x14ac:dyDescent="0.2">
      <c r="A17" s="67" t="s">
        <v>10</v>
      </c>
      <c r="D17" s="68" t="s">
        <v>76</v>
      </c>
      <c r="H17" s="74">
        <f>H16*0.001*E11/E9*1000000</f>
        <v>0</v>
      </c>
      <c r="I17" s="77">
        <f>H17</f>
        <v>0</v>
      </c>
    </row>
    <row r="18" spans="1:12" x14ac:dyDescent="0.2">
      <c r="A18" s="67" t="s">
        <v>32</v>
      </c>
      <c r="D18" s="68"/>
      <c r="H18" s="76">
        <f>H12/E11</f>
        <v>5.0000000000000001E-4</v>
      </c>
      <c r="I18" s="69"/>
    </row>
    <row r="19" spans="1:12" x14ac:dyDescent="0.2">
      <c r="A19" s="67" t="s">
        <v>26</v>
      </c>
      <c r="D19" s="68"/>
      <c r="H19" s="74">
        <f>H17*H12/E11</f>
        <v>0</v>
      </c>
      <c r="I19" s="69"/>
    </row>
    <row r="20" spans="1:12" x14ac:dyDescent="0.2">
      <c r="A20" s="67"/>
      <c r="D20" s="68"/>
      <c r="H20" s="74"/>
      <c r="I20" s="69"/>
    </row>
    <row r="21" spans="1:12" x14ac:dyDescent="0.2">
      <c r="A21" s="67" t="s">
        <v>78</v>
      </c>
      <c r="D21" s="61" t="s">
        <v>77</v>
      </c>
      <c r="H21" s="76">
        <f>IF((E7&gt;0),64/H17,0)</f>
        <v>0</v>
      </c>
      <c r="I21" s="69"/>
    </row>
    <row r="22" spans="1:12" x14ac:dyDescent="0.2">
      <c r="A22" s="67" t="s">
        <v>80</v>
      </c>
      <c r="D22" s="61" t="s">
        <v>79</v>
      </c>
      <c r="H22" s="76">
        <f>IF((E7&gt;0),(0.0055*(1+(20000*IF(E12&gt;1,K12/1000,H12/1000)/(0.001*E11)+1000000/H17)^0.333333)),0)</f>
        <v>0</v>
      </c>
      <c r="I22" s="69"/>
    </row>
    <row r="23" spans="1:12" x14ac:dyDescent="0.2">
      <c r="A23" s="61" t="s">
        <v>82</v>
      </c>
      <c r="D23" s="61" t="s">
        <v>81</v>
      </c>
      <c r="H23" s="75">
        <f>((IF(H17&gt;2320,H22,H21))*E10/(0.001*E11)+E13)*E8*H16*H16/(2*100000)</f>
        <v>0</v>
      </c>
      <c r="I23" s="69" t="s">
        <v>52</v>
      </c>
      <c r="J23" s="61" t="s">
        <v>19</v>
      </c>
    </row>
    <row r="24" spans="1:12" x14ac:dyDescent="0.2">
      <c r="H24" s="74">
        <f>+H23*100/(9.81)</f>
        <v>0</v>
      </c>
      <c r="I24" s="69" t="s">
        <v>15</v>
      </c>
      <c r="J24" s="61" t="s">
        <v>20</v>
      </c>
    </row>
    <row r="25" spans="1:12" x14ac:dyDescent="0.2">
      <c r="H25" s="69" t="s">
        <v>16</v>
      </c>
      <c r="I25" s="69"/>
    </row>
    <row r="26" spans="1:12" s="73" customFormat="1" hidden="1" x14ac:dyDescent="0.2"/>
    <row r="27" spans="1:12" hidden="1" x14ac:dyDescent="0.2"/>
    <row r="28" spans="1:12" hidden="1" x14ac:dyDescent="0.2">
      <c r="A28" s="61" t="s">
        <v>41</v>
      </c>
      <c r="D28" s="61" t="s">
        <v>18</v>
      </c>
      <c r="H28" s="61" t="s">
        <v>21</v>
      </c>
      <c r="L28" s="61" t="s">
        <v>23</v>
      </c>
    </row>
    <row r="29" spans="1:12" hidden="1" x14ac:dyDescent="0.2">
      <c r="D29" s="72" t="s">
        <v>22</v>
      </c>
      <c r="F29" s="61" t="s">
        <v>42</v>
      </c>
      <c r="H29" s="71" t="s">
        <v>35</v>
      </c>
      <c r="L29" s="70" t="s">
        <v>36</v>
      </c>
    </row>
    <row r="30" spans="1:12" hidden="1" x14ac:dyDescent="0.2">
      <c r="B30" s="61" t="s">
        <v>28</v>
      </c>
    </row>
    <row r="31" spans="1:12" hidden="1" x14ac:dyDescent="0.2">
      <c r="C31" s="61" t="s">
        <v>27</v>
      </c>
      <c r="D31" s="69" t="e">
        <f>0.3164*H17^-0.25</f>
        <v>#DIV/0!</v>
      </c>
      <c r="E31" s="61" t="s">
        <v>39</v>
      </c>
      <c r="F31" s="61" t="s">
        <v>43</v>
      </c>
      <c r="G31" s="61" t="s">
        <v>30</v>
      </c>
      <c r="H31" s="61">
        <f>(1/(2*LOG10((E11/H12))+1.14))^2</f>
        <v>1.6683491158539499E-2</v>
      </c>
      <c r="I31" s="61" t="s">
        <v>37</v>
      </c>
      <c r="K31" s="61" t="s">
        <v>34</v>
      </c>
      <c r="L31" s="61" t="e">
        <f>1/(-2*LOG10(H12/(3.72*E11)+2.51/H17*((H17*E11/H12)^0.0625)*(1/0.48)))^2</f>
        <v>#DIV/0!</v>
      </c>
    </row>
    <row r="32" spans="1:12" hidden="1" x14ac:dyDescent="0.2">
      <c r="C32" s="61" t="s">
        <v>29</v>
      </c>
      <c r="D32" s="61" t="e">
        <f>0.0032+0.221*H17^-0.237</f>
        <v>#DIV/0!</v>
      </c>
      <c r="E32" s="61" t="s">
        <v>37</v>
      </c>
      <c r="F32" s="61" t="s">
        <v>44</v>
      </c>
      <c r="G32" s="61" t="s">
        <v>31</v>
      </c>
      <c r="H32" s="61">
        <f>0.0055+0.15*(H12/E11)^(1/3)</f>
        <v>1.7405507889761494E-2</v>
      </c>
      <c r="I32" s="61" t="s">
        <v>38</v>
      </c>
    </row>
    <row r="33" spans="1:12" hidden="1" x14ac:dyDescent="0.2">
      <c r="C33" s="61" t="s">
        <v>33</v>
      </c>
      <c r="D33" s="61" t="e">
        <f>0.0054+0.3964/H17^0.3</f>
        <v>#DIV/0!</v>
      </c>
      <c r="E33" s="61" t="s">
        <v>40</v>
      </c>
      <c r="F33" s="61" t="s">
        <v>45</v>
      </c>
    </row>
    <row r="34" spans="1:12" hidden="1" x14ac:dyDescent="0.2"/>
    <row r="36" spans="1:12" x14ac:dyDescent="0.2">
      <c r="A36" s="68" t="s">
        <v>47</v>
      </c>
      <c r="B36" s="61" t="s">
        <v>49</v>
      </c>
      <c r="C36" s="61" t="s">
        <v>48</v>
      </c>
      <c r="D36" s="61" t="s">
        <v>50</v>
      </c>
      <c r="F36" s="61" t="s">
        <v>58</v>
      </c>
    </row>
    <row r="37" spans="1:12" x14ac:dyDescent="0.2">
      <c r="A37" s="67" t="s">
        <v>53</v>
      </c>
      <c r="B37" s="65">
        <f>Parameters!W11</f>
        <v>0</v>
      </c>
      <c r="C37" s="62">
        <v>5</v>
      </c>
      <c r="D37" s="62">
        <f t="shared" ref="D37:D49" si="0">B37*C37</f>
        <v>0</v>
      </c>
    </row>
    <row r="38" spans="1:12" x14ac:dyDescent="0.2">
      <c r="A38" s="67" t="s">
        <v>54</v>
      </c>
      <c r="B38" s="65">
        <f>Parameters!W12</f>
        <v>0</v>
      </c>
      <c r="C38" s="62">
        <v>0.5</v>
      </c>
      <c r="D38" s="62">
        <f t="shared" si="0"/>
        <v>0</v>
      </c>
      <c r="I38" s="63"/>
    </row>
    <row r="39" spans="1:12" x14ac:dyDescent="0.2">
      <c r="A39" s="67" t="s">
        <v>62</v>
      </c>
      <c r="B39" s="65">
        <f>Parameters!W13</f>
        <v>0</v>
      </c>
      <c r="C39" s="62">
        <v>4</v>
      </c>
      <c r="D39" s="62">
        <f t="shared" si="0"/>
        <v>0</v>
      </c>
      <c r="I39" s="63"/>
    </row>
    <row r="40" spans="1:12" x14ac:dyDescent="0.2">
      <c r="A40" s="61" t="s">
        <v>94</v>
      </c>
      <c r="B40" s="65">
        <f>Parameters!W14</f>
        <v>0</v>
      </c>
      <c r="C40" s="62">
        <v>5</v>
      </c>
      <c r="D40" s="62">
        <f t="shared" si="0"/>
        <v>0</v>
      </c>
      <c r="I40" s="63"/>
    </row>
    <row r="41" spans="1:12" x14ac:dyDescent="0.2">
      <c r="A41" s="66" t="s">
        <v>95</v>
      </c>
      <c r="B41" s="65">
        <f>Parameters!W15</f>
        <v>0</v>
      </c>
      <c r="C41" s="62">
        <v>0.5</v>
      </c>
      <c r="D41" s="62">
        <f t="shared" si="0"/>
        <v>0</v>
      </c>
      <c r="I41" s="63"/>
    </row>
    <row r="42" spans="1:12" x14ac:dyDescent="0.2">
      <c r="A42" s="61" t="s">
        <v>63</v>
      </c>
      <c r="B42" s="65">
        <f>Parameters!W16</f>
        <v>0</v>
      </c>
      <c r="C42" s="62">
        <v>0.5</v>
      </c>
      <c r="D42" s="62">
        <f t="shared" si="0"/>
        <v>0</v>
      </c>
      <c r="L42" s="63"/>
    </row>
    <row r="43" spans="1:12" x14ac:dyDescent="0.2">
      <c r="A43" s="61" t="s">
        <v>64</v>
      </c>
      <c r="B43" s="65">
        <f>Parameters!W17</f>
        <v>0</v>
      </c>
      <c r="C43" s="62">
        <v>1</v>
      </c>
      <c r="D43" s="62">
        <f t="shared" si="0"/>
        <v>0</v>
      </c>
      <c r="L43" s="63"/>
    </row>
    <row r="44" spans="1:12" x14ac:dyDescent="0.2">
      <c r="A44" s="61" t="s">
        <v>51</v>
      </c>
      <c r="B44" s="65">
        <f>Parameters!W18</f>
        <v>0</v>
      </c>
      <c r="C44" s="62">
        <f>IF(H17&gt;2300,0.35,3.5)</f>
        <v>3.5</v>
      </c>
      <c r="D44" s="62">
        <f t="shared" si="0"/>
        <v>0</v>
      </c>
      <c r="F44" s="61" t="s">
        <v>89</v>
      </c>
      <c r="L44" s="63"/>
    </row>
    <row r="45" spans="1:12" x14ac:dyDescent="0.2">
      <c r="A45" s="61" t="s">
        <v>59</v>
      </c>
      <c r="B45" s="65">
        <f>Parameters!W19</f>
        <v>0</v>
      </c>
      <c r="C45" s="62">
        <v>1</v>
      </c>
      <c r="D45" s="62">
        <f t="shared" si="0"/>
        <v>0</v>
      </c>
      <c r="I45" s="63"/>
    </row>
    <row r="46" spans="1:12" x14ac:dyDescent="0.2">
      <c r="A46" s="61" t="s">
        <v>60</v>
      </c>
      <c r="B46" s="65">
        <f>Parameters!W20</f>
        <v>0</v>
      </c>
      <c r="C46" s="62">
        <v>0.1</v>
      </c>
      <c r="D46" s="62">
        <f t="shared" si="0"/>
        <v>0</v>
      </c>
      <c r="I46" s="63"/>
    </row>
    <row r="47" spans="1:12" x14ac:dyDescent="0.2">
      <c r="A47" s="61" t="s">
        <v>56</v>
      </c>
      <c r="B47" s="65">
        <f>Parameters!W21</f>
        <v>0</v>
      </c>
      <c r="C47" s="62">
        <v>1</v>
      </c>
      <c r="D47" s="62">
        <f t="shared" si="0"/>
        <v>0</v>
      </c>
      <c r="I47" s="63"/>
    </row>
    <row r="48" spans="1:12" x14ac:dyDescent="0.2">
      <c r="A48" s="61" t="s">
        <v>57</v>
      </c>
      <c r="B48" s="65">
        <f>Parameters!W22</f>
        <v>0</v>
      </c>
      <c r="C48" s="62">
        <v>6</v>
      </c>
      <c r="D48" s="62">
        <f t="shared" si="0"/>
        <v>0</v>
      </c>
      <c r="I48" s="63"/>
    </row>
    <row r="49" spans="1:9" x14ac:dyDescent="0.2">
      <c r="A49" s="61" t="s">
        <v>61</v>
      </c>
      <c r="B49" s="65">
        <f>Parameters!W23</f>
        <v>0</v>
      </c>
      <c r="C49" s="62">
        <v>0.2</v>
      </c>
      <c r="D49" s="62">
        <f t="shared" si="0"/>
        <v>0</v>
      </c>
      <c r="I49" s="63"/>
    </row>
    <row r="50" spans="1:9" x14ac:dyDescent="0.2">
      <c r="B50" s="64"/>
      <c r="C50" s="62"/>
      <c r="D50" s="62"/>
      <c r="I50" s="63"/>
    </row>
    <row r="51" spans="1:9" x14ac:dyDescent="0.2">
      <c r="A51" s="61" t="s">
        <v>46</v>
      </c>
      <c r="B51" s="62"/>
      <c r="C51" s="62"/>
      <c r="D51" s="62">
        <f>SUM(D37:D50)</f>
        <v>0</v>
      </c>
    </row>
  </sheetData>
  <conditionalFormatting sqref="D28">
    <cfRule type="cellIs" dxfId="23" priority="1" stopIfTrue="1" operator="lessThan">
      <formula>65</formula>
    </cfRule>
  </conditionalFormatting>
  <conditionalFormatting sqref="E7 E12 E10 K11 B37:B49">
    <cfRule type="cellIs" dxfId="22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0">
    <pageSetUpPr fitToPage="1"/>
  </sheetPr>
  <dimension ref="A2:Q51"/>
  <sheetViews>
    <sheetView workbookViewId="0">
      <selection activeCell="E9" sqref="E9"/>
    </sheetView>
  </sheetViews>
  <sheetFormatPr defaultRowHeight="12.75" x14ac:dyDescent="0.2"/>
  <cols>
    <col min="1" max="1" width="12.140625" style="61" customWidth="1"/>
    <col min="2" max="3" width="9.140625" style="61"/>
    <col min="4" max="4" width="12.42578125" style="61" bestFit="1" customWidth="1"/>
    <col min="5" max="5" width="12" style="61" bestFit="1" customWidth="1"/>
    <col min="6" max="6" width="10.7109375" style="61" customWidth="1"/>
    <col min="7" max="7" width="12.42578125" style="61" bestFit="1" customWidth="1"/>
    <col min="8" max="9" width="9.42578125" style="61" customWidth="1"/>
    <col min="10" max="10" width="14.140625" style="61" bestFit="1" customWidth="1"/>
    <col min="11" max="11" width="5" style="61" bestFit="1" customWidth="1"/>
    <col min="12" max="12" width="14.85546875" style="61" bestFit="1" customWidth="1"/>
    <col min="13" max="13" width="3.7109375" style="61" bestFit="1" customWidth="1"/>
    <col min="14" max="14" width="8.85546875" style="61" bestFit="1" customWidth="1"/>
    <col min="15" max="15" width="3.7109375" style="61" bestFit="1" customWidth="1"/>
    <col min="16" max="16" width="7.42578125" style="61" bestFit="1" customWidth="1"/>
    <col min="17" max="17" width="3.7109375" style="61" bestFit="1" customWidth="1"/>
    <col min="18" max="18" width="6.85546875" style="61" bestFit="1" customWidth="1"/>
    <col min="19" max="16384" width="9.140625" style="61"/>
  </cols>
  <sheetData>
    <row r="2" spans="1:17" ht="15.75" x14ac:dyDescent="0.25">
      <c r="A2" s="80" t="s">
        <v>0</v>
      </c>
    </row>
    <row r="6" spans="1:17" x14ac:dyDescent="0.2">
      <c r="A6" s="79" t="s">
        <v>85</v>
      </c>
    </row>
    <row r="7" spans="1:17" x14ac:dyDescent="0.2">
      <c r="A7" s="68" t="s">
        <v>4</v>
      </c>
      <c r="E7" s="65">
        <f>Parameters!X7</f>
        <v>0</v>
      </c>
      <c r="F7" s="69" t="s">
        <v>86</v>
      </c>
    </row>
    <row r="8" spans="1:17" x14ac:dyDescent="0.2">
      <c r="A8" s="68" t="s">
        <v>5</v>
      </c>
      <c r="E8" s="69">
        <f>total!F18</f>
        <v>1025</v>
      </c>
      <c r="F8" s="69" t="s">
        <v>11</v>
      </c>
      <c r="Q8" s="78"/>
    </row>
    <row r="9" spans="1:17" x14ac:dyDescent="0.2">
      <c r="A9" s="68" t="s">
        <v>9</v>
      </c>
      <c r="E9" s="69">
        <f>total!F17</f>
        <v>1</v>
      </c>
      <c r="F9" s="69" t="s">
        <v>73</v>
      </c>
    </row>
    <row r="10" spans="1:17" x14ac:dyDescent="0.2">
      <c r="A10" s="68" t="s">
        <v>6</v>
      </c>
      <c r="E10" s="65">
        <f>Parameters!X8</f>
        <v>0</v>
      </c>
      <c r="F10" s="69" t="s">
        <v>12</v>
      </c>
    </row>
    <row r="11" spans="1:17" x14ac:dyDescent="0.2">
      <c r="A11" s="68" t="s">
        <v>7</v>
      </c>
      <c r="E11" s="69">
        <f>VLOOKUP(H11,'pipe dimensions'!A1:D21,K11+1)</f>
        <v>250</v>
      </c>
      <c r="F11" s="69" t="s">
        <v>13</v>
      </c>
      <c r="G11" s="78" t="s">
        <v>68</v>
      </c>
      <c r="H11" s="78">
        <v>250</v>
      </c>
      <c r="J11" s="61" t="s">
        <v>72</v>
      </c>
      <c r="K11" s="65">
        <f>Parameters!X10</f>
        <v>0</v>
      </c>
      <c r="L11" s="61" t="s">
        <v>74</v>
      </c>
    </row>
    <row r="12" spans="1:17" x14ac:dyDescent="0.2">
      <c r="A12" s="68" t="s">
        <v>14</v>
      </c>
      <c r="E12" s="65">
        <f>Parameters!X9</f>
        <v>0</v>
      </c>
      <c r="F12" s="69"/>
      <c r="G12" s="78" t="s">
        <v>24</v>
      </c>
      <c r="H12" s="78">
        <v>0.15</v>
      </c>
      <c r="I12" s="61" t="s">
        <v>13</v>
      </c>
      <c r="J12" s="78" t="s">
        <v>25</v>
      </c>
      <c r="K12" s="78">
        <v>0.02</v>
      </c>
      <c r="L12" s="61" t="s">
        <v>13</v>
      </c>
    </row>
    <row r="13" spans="1:17" x14ac:dyDescent="0.2">
      <c r="A13" s="68" t="s">
        <v>8</v>
      </c>
      <c r="E13" s="69">
        <f>IF(E10&gt;0,D51,0)</f>
        <v>0</v>
      </c>
      <c r="F13" s="69"/>
    </row>
    <row r="15" spans="1:17" x14ac:dyDescent="0.2">
      <c r="A15" s="68" t="s">
        <v>1</v>
      </c>
      <c r="H15" s="69"/>
    </row>
    <row r="16" spans="1:17" x14ac:dyDescent="0.2">
      <c r="A16" s="67" t="s">
        <v>3</v>
      </c>
      <c r="D16" s="68" t="s">
        <v>75</v>
      </c>
      <c r="H16" s="74">
        <f>E7/3600/(0.785*(0.001*E11)*(0.001*E11))</f>
        <v>0</v>
      </c>
      <c r="I16" s="69" t="s">
        <v>2</v>
      </c>
    </row>
    <row r="17" spans="1:12" x14ac:dyDescent="0.2">
      <c r="A17" s="67" t="s">
        <v>10</v>
      </c>
      <c r="D17" s="68" t="s">
        <v>76</v>
      </c>
      <c r="H17" s="74">
        <f>H16*0.001*E11/E9*1000000</f>
        <v>0</v>
      </c>
      <c r="I17" s="77">
        <f>H17</f>
        <v>0</v>
      </c>
    </row>
    <row r="18" spans="1:12" x14ac:dyDescent="0.2">
      <c r="A18" s="67" t="s">
        <v>32</v>
      </c>
      <c r="D18" s="68"/>
      <c r="H18" s="76">
        <f>H12/E11</f>
        <v>5.9999999999999995E-4</v>
      </c>
      <c r="I18" s="69"/>
    </row>
    <row r="19" spans="1:12" x14ac:dyDescent="0.2">
      <c r="A19" s="67" t="s">
        <v>26</v>
      </c>
      <c r="D19" s="68"/>
      <c r="H19" s="74">
        <f>H17*H12/E11</f>
        <v>0</v>
      </c>
      <c r="I19" s="69"/>
    </row>
    <row r="20" spans="1:12" x14ac:dyDescent="0.2">
      <c r="A20" s="67"/>
      <c r="D20" s="68"/>
      <c r="H20" s="74"/>
      <c r="I20" s="69"/>
    </row>
    <row r="21" spans="1:12" x14ac:dyDescent="0.2">
      <c r="A21" s="67" t="s">
        <v>78</v>
      </c>
      <c r="D21" s="61" t="s">
        <v>77</v>
      </c>
      <c r="H21" s="76">
        <f>IF((E7&gt;0),64/H17,0)</f>
        <v>0</v>
      </c>
      <c r="I21" s="69"/>
    </row>
    <row r="22" spans="1:12" x14ac:dyDescent="0.2">
      <c r="A22" s="67" t="s">
        <v>80</v>
      </c>
      <c r="D22" s="61" t="s">
        <v>79</v>
      </c>
      <c r="H22" s="76">
        <f>IF((E7&gt;0),(0.0055*(1+(20000*IF(E12&gt;1,K12/1000,H12/1000)/(0.001*E11)+1000000/H17)^0.333333)),0)</f>
        <v>0</v>
      </c>
      <c r="I22" s="69"/>
    </row>
    <row r="23" spans="1:12" x14ac:dyDescent="0.2">
      <c r="A23" s="61" t="s">
        <v>82</v>
      </c>
      <c r="D23" s="61" t="s">
        <v>81</v>
      </c>
      <c r="H23" s="75">
        <f>((IF(H17&gt;2320,H22,H21))*E10/(0.001*E11)+E13)*E8*H16*H16/(2*100000)</f>
        <v>0</v>
      </c>
      <c r="I23" s="69" t="s">
        <v>52</v>
      </c>
      <c r="J23" s="61" t="s">
        <v>19</v>
      </c>
    </row>
    <row r="24" spans="1:12" x14ac:dyDescent="0.2">
      <c r="H24" s="74">
        <f>+H23*100/(9.81)</f>
        <v>0</v>
      </c>
      <c r="I24" s="69" t="s">
        <v>15</v>
      </c>
      <c r="J24" s="61" t="s">
        <v>20</v>
      </c>
    </row>
    <row r="25" spans="1:12" x14ac:dyDescent="0.2">
      <c r="H25" s="69" t="s">
        <v>16</v>
      </c>
      <c r="I25" s="69"/>
    </row>
    <row r="26" spans="1:12" s="73" customFormat="1" hidden="1" x14ac:dyDescent="0.2"/>
    <row r="27" spans="1:12" hidden="1" x14ac:dyDescent="0.2"/>
    <row r="28" spans="1:12" hidden="1" x14ac:dyDescent="0.2">
      <c r="A28" s="61" t="s">
        <v>41</v>
      </c>
      <c r="D28" s="61" t="s">
        <v>18</v>
      </c>
      <c r="H28" s="61" t="s">
        <v>21</v>
      </c>
      <c r="L28" s="61" t="s">
        <v>23</v>
      </c>
    </row>
    <row r="29" spans="1:12" hidden="1" x14ac:dyDescent="0.2">
      <c r="D29" s="72" t="s">
        <v>22</v>
      </c>
      <c r="F29" s="61" t="s">
        <v>42</v>
      </c>
      <c r="H29" s="71" t="s">
        <v>35</v>
      </c>
      <c r="L29" s="70" t="s">
        <v>36</v>
      </c>
    </row>
    <row r="30" spans="1:12" hidden="1" x14ac:dyDescent="0.2">
      <c r="B30" s="61" t="s">
        <v>28</v>
      </c>
    </row>
    <row r="31" spans="1:12" hidden="1" x14ac:dyDescent="0.2">
      <c r="C31" s="61" t="s">
        <v>27</v>
      </c>
      <c r="D31" s="69" t="e">
        <f>0.3164*H17^-0.25</f>
        <v>#DIV/0!</v>
      </c>
      <c r="E31" s="61" t="s">
        <v>39</v>
      </c>
      <c r="F31" s="61" t="s">
        <v>43</v>
      </c>
      <c r="G31" s="61" t="s">
        <v>30</v>
      </c>
      <c r="H31" s="61">
        <f>(1/(2*LOG10((E11/H12))+1.14))^2</f>
        <v>1.7387534198241929E-2</v>
      </c>
      <c r="I31" s="61" t="s">
        <v>37</v>
      </c>
      <c r="K31" s="61" t="s">
        <v>34</v>
      </c>
      <c r="L31" s="61" t="e">
        <f>1/(-2*LOG10(H12/(3.72*E11)+2.51/H17*((H17*E11/H12)^0.0625)*(1/0.48)))^2</f>
        <v>#DIV/0!</v>
      </c>
    </row>
    <row r="32" spans="1:12" hidden="1" x14ac:dyDescent="0.2">
      <c r="C32" s="61" t="s">
        <v>29</v>
      </c>
      <c r="D32" s="61" t="e">
        <f>0.0032+0.221*H17^-0.237</f>
        <v>#DIV/0!</v>
      </c>
      <c r="E32" s="61" t="s">
        <v>37</v>
      </c>
      <c r="F32" s="61" t="s">
        <v>44</v>
      </c>
      <c r="G32" s="61" t="s">
        <v>31</v>
      </c>
      <c r="H32" s="61">
        <f>0.0055+0.15*(H12/E11)^(1/3)</f>
        <v>1.8151489979526238E-2</v>
      </c>
      <c r="I32" s="61" t="s">
        <v>38</v>
      </c>
    </row>
    <row r="33" spans="1:12" hidden="1" x14ac:dyDescent="0.2">
      <c r="C33" s="61" t="s">
        <v>33</v>
      </c>
      <c r="D33" s="61" t="e">
        <f>0.0054+0.3964/H17^0.3</f>
        <v>#DIV/0!</v>
      </c>
      <c r="E33" s="61" t="s">
        <v>40</v>
      </c>
      <c r="F33" s="61" t="s">
        <v>45</v>
      </c>
    </row>
    <row r="34" spans="1:12" hidden="1" x14ac:dyDescent="0.2"/>
    <row r="36" spans="1:12" x14ac:dyDescent="0.2">
      <c r="A36" s="68" t="s">
        <v>47</v>
      </c>
      <c r="B36" s="61" t="s">
        <v>49</v>
      </c>
      <c r="C36" s="61" t="s">
        <v>48</v>
      </c>
      <c r="D36" s="61" t="s">
        <v>50</v>
      </c>
      <c r="F36" s="61" t="s">
        <v>58</v>
      </c>
    </row>
    <row r="37" spans="1:12" x14ac:dyDescent="0.2">
      <c r="A37" s="67" t="s">
        <v>53</v>
      </c>
      <c r="B37" s="65">
        <f>Parameters!X11</f>
        <v>0</v>
      </c>
      <c r="C37" s="62">
        <v>5</v>
      </c>
      <c r="D37" s="62">
        <f t="shared" ref="D37:D49" si="0">B37*C37</f>
        <v>0</v>
      </c>
    </row>
    <row r="38" spans="1:12" x14ac:dyDescent="0.2">
      <c r="A38" s="67" t="s">
        <v>54</v>
      </c>
      <c r="B38" s="65">
        <f>Parameters!X12</f>
        <v>0</v>
      </c>
      <c r="C38" s="62">
        <v>0.5</v>
      </c>
      <c r="D38" s="62">
        <f t="shared" si="0"/>
        <v>0</v>
      </c>
      <c r="I38" s="63"/>
    </row>
    <row r="39" spans="1:12" x14ac:dyDescent="0.2">
      <c r="A39" s="67" t="s">
        <v>62</v>
      </c>
      <c r="B39" s="65">
        <f>Parameters!X13</f>
        <v>0</v>
      </c>
      <c r="C39" s="62">
        <v>4</v>
      </c>
      <c r="D39" s="62">
        <f t="shared" si="0"/>
        <v>0</v>
      </c>
      <c r="I39" s="63"/>
    </row>
    <row r="40" spans="1:12" x14ac:dyDescent="0.2">
      <c r="A40" s="61" t="s">
        <v>94</v>
      </c>
      <c r="B40" s="65">
        <f>Parameters!X14</f>
        <v>0</v>
      </c>
      <c r="C40" s="62">
        <v>5</v>
      </c>
      <c r="D40" s="62">
        <f t="shared" si="0"/>
        <v>0</v>
      </c>
      <c r="I40" s="63"/>
    </row>
    <row r="41" spans="1:12" x14ac:dyDescent="0.2">
      <c r="A41" s="66" t="s">
        <v>95</v>
      </c>
      <c r="B41" s="65">
        <f>Parameters!X15</f>
        <v>0</v>
      </c>
      <c r="C41" s="62">
        <v>0.5</v>
      </c>
      <c r="D41" s="62">
        <f t="shared" si="0"/>
        <v>0</v>
      </c>
      <c r="I41" s="63"/>
    </row>
    <row r="42" spans="1:12" x14ac:dyDescent="0.2">
      <c r="A42" s="61" t="s">
        <v>63</v>
      </c>
      <c r="B42" s="65">
        <f>Parameters!X16</f>
        <v>0</v>
      </c>
      <c r="C42" s="62">
        <v>0.5</v>
      </c>
      <c r="D42" s="62">
        <f t="shared" si="0"/>
        <v>0</v>
      </c>
      <c r="L42" s="63"/>
    </row>
    <row r="43" spans="1:12" x14ac:dyDescent="0.2">
      <c r="A43" s="61" t="s">
        <v>64</v>
      </c>
      <c r="B43" s="65">
        <f>Parameters!X17</f>
        <v>0</v>
      </c>
      <c r="C43" s="62">
        <v>1</v>
      </c>
      <c r="D43" s="62">
        <f t="shared" si="0"/>
        <v>0</v>
      </c>
      <c r="L43" s="63"/>
    </row>
    <row r="44" spans="1:12" x14ac:dyDescent="0.2">
      <c r="A44" s="61" t="s">
        <v>51</v>
      </c>
      <c r="B44" s="65">
        <f>Parameters!X18</f>
        <v>0</v>
      </c>
      <c r="C44" s="62">
        <f>IF(H17&gt;2300,0.35,3.5)</f>
        <v>3.5</v>
      </c>
      <c r="D44" s="62">
        <f t="shared" si="0"/>
        <v>0</v>
      </c>
      <c r="F44" s="61" t="s">
        <v>89</v>
      </c>
      <c r="L44" s="63"/>
    </row>
    <row r="45" spans="1:12" x14ac:dyDescent="0.2">
      <c r="A45" s="61" t="s">
        <v>59</v>
      </c>
      <c r="B45" s="65">
        <f>Parameters!X19</f>
        <v>0</v>
      </c>
      <c r="C45" s="62">
        <v>1</v>
      </c>
      <c r="D45" s="62">
        <f t="shared" si="0"/>
        <v>0</v>
      </c>
      <c r="I45" s="63"/>
    </row>
    <row r="46" spans="1:12" x14ac:dyDescent="0.2">
      <c r="A46" s="61" t="s">
        <v>60</v>
      </c>
      <c r="B46" s="65">
        <f>Parameters!X20</f>
        <v>0</v>
      </c>
      <c r="C46" s="62">
        <v>0.1</v>
      </c>
      <c r="D46" s="62">
        <f t="shared" si="0"/>
        <v>0</v>
      </c>
      <c r="I46" s="63"/>
    </row>
    <row r="47" spans="1:12" x14ac:dyDescent="0.2">
      <c r="A47" s="61" t="s">
        <v>56</v>
      </c>
      <c r="B47" s="65">
        <f>Parameters!X21</f>
        <v>0</v>
      </c>
      <c r="C47" s="62">
        <v>1</v>
      </c>
      <c r="D47" s="62">
        <f t="shared" si="0"/>
        <v>0</v>
      </c>
      <c r="I47" s="63"/>
    </row>
    <row r="48" spans="1:12" x14ac:dyDescent="0.2">
      <c r="A48" s="61" t="s">
        <v>57</v>
      </c>
      <c r="B48" s="65">
        <f>Parameters!X22</f>
        <v>0</v>
      </c>
      <c r="C48" s="62">
        <v>6</v>
      </c>
      <c r="D48" s="62">
        <f t="shared" si="0"/>
        <v>0</v>
      </c>
      <c r="I48" s="63"/>
    </row>
    <row r="49" spans="1:9" x14ac:dyDescent="0.2">
      <c r="A49" s="61" t="s">
        <v>61</v>
      </c>
      <c r="B49" s="65">
        <f>Parameters!X23</f>
        <v>0</v>
      </c>
      <c r="C49" s="62">
        <v>0.2</v>
      </c>
      <c r="D49" s="62">
        <f t="shared" si="0"/>
        <v>0</v>
      </c>
      <c r="I49" s="63"/>
    </row>
    <row r="50" spans="1:9" x14ac:dyDescent="0.2">
      <c r="B50" s="64"/>
      <c r="C50" s="62"/>
      <c r="D50" s="62"/>
      <c r="I50" s="63"/>
    </row>
    <row r="51" spans="1:9" x14ac:dyDescent="0.2">
      <c r="A51" s="61" t="s">
        <v>46</v>
      </c>
      <c r="B51" s="62"/>
      <c r="C51" s="62"/>
      <c r="D51" s="62">
        <f>SUM(D37:D50)</f>
        <v>0</v>
      </c>
    </row>
  </sheetData>
  <conditionalFormatting sqref="D28">
    <cfRule type="cellIs" dxfId="21" priority="1" stopIfTrue="1" operator="lessThan">
      <formula>65</formula>
    </cfRule>
  </conditionalFormatting>
  <conditionalFormatting sqref="E7 E12 E10 K11 B37:B49">
    <cfRule type="cellIs" dxfId="20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1">
    <pageSetUpPr fitToPage="1"/>
  </sheetPr>
  <dimension ref="A2:Q51"/>
  <sheetViews>
    <sheetView workbookViewId="0">
      <selection activeCell="E9" sqref="E9"/>
    </sheetView>
  </sheetViews>
  <sheetFormatPr defaultRowHeight="12.75" x14ac:dyDescent="0.2"/>
  <cols>
    <col min="1" max="1" width="12.140625" style="61" customWidth="1"/>
    <col min="2" max="3" width="9.140625" style="61"/>
    <col min="4" max="4" width="12.42578125" style="61" bestFit="1" customWidth="1"/>
    <col min="5" max="5" width="12" style="61" bestFit="1" customWidth="1"/>
    <col min="6" max="6" width="10.7109375" style="61" customWidth="1"/>
    <col min="7" max="7" width="12.42578125" style="61" bestFit="1" customWidth="1"/>
    <col min="8" max="9" width="9.42578125" style="61" customWidth="1"/>
    <col min="10" max="10" width="14.140625" style="61" bestFit="1" customWidth="1"/>
    <col min="11" max="11" width="5" style="61" bestFit="1" customWidth="1"/>
    <col min="12" max="12" width="14.85546875" style="61" bestFit="1" customWidth="1"/>
    <col min="13" max="13" width="3.7109375" style="61" bestFit="1" customWidth="1"/>
    <col min="14" max="14" width="8.85546875" style="61" bestFit="1" customWidth="1"/>
    <col min="15" max="15" width="3.7109375" style="61" bestFit="1" customWidth="1"/>
    <col min="16" max="16" width="7.42578125" style="61" bestFit="1" customWidth="1"/>
    <col min="17" max="17" width="3.7109375" style="61" bestFit="1" customWidth="1"/>
    <col min="18" max="18" width="6.85546875" style="61" bestFit="1" customWidth="1"/>
    <col min="19" max="16384" width="9.140625" style="61"/>
  </cols>
  <sheetData>
    <row r="2" spans="1:17" ht="15.75" x14ac:dyDescent="0.25">
      <c r="A2" s="80" t="s">
        <v>0</v>
      </c>
    </row>
    <row r="6" spans="1:17" x14ac:dyDescent="0.2">
      <c r="A6" s="79" t="s">
        <v>85</v>
      </c>
    </row>
    <row r="7" spans="1:17" x14ac:dyDescent="0.2">
      <c r="A7" s="68" t="s">
        <v>4</v>
      </c>
      <c r="E7" s="65">
        <f>Parameters!Y7</f>
        <v>0</v>
      </c>
      <c r="F7" s="69" t="s">
        <v>86</v>
      </c>
    </row>
    <row r="8" spans="1:17" x14ac:dyDescent="0.2">
      <c r="A8" s="68" t="s">
        <v>5</v>
      </c>
      <c r="E8" s="69">
        <f>total!F18</f>
        <v>1025</v>
      </c>
      <c r="F8" s="69" t="s">
        <v>11</v>
      </c>
      <c r="Q8" s="78"/>
    </row>
    <row r="9" spans="1:17" x14ac:dyDescent="0.2">
      <c r="A9" s="68" t="s">
        <v>9</v>
      </c>
      <c r="E9" s="69">
        <f>total!F17</f>
        <v>1</v>
      </c>
      <c r="F9" s="69" t="s">
        <v>73</v>
      </c>
    </row>
    <row r="10" spans="1:17" x14ac:dyDescent="0.2">
      <c r="A10" s="68" t="s">
        <v>6</v>
      </c>
      <c r="E10" s="65">
        <f>Parameters!Y8</f>
        <v>0</v>
      </c>
      <c r="F10" s="69" t="s">
        <v>12</v>
      </c>
    </row>
    <row r="11" spans="1:17" x14ac:dyDescent="0.2">
      <c r="A11" s="68" t="s">
        <v>7</v>
      </c>
      <c r="E11" s="69">
        <f>VLOOKUP(H11,'pipe dimensions'!A1:D21,K11+1)</f>
        <v>200</v>
      </c>
      <c r="F11" s="69" t="s">
        <v>13</v>
      </c>
      <c r="G11" s="78" t="s">
        <v>68</v>
      </c>
      <c r="H11" s="78">
        <v>200</v>
      </c>
      <c r="J11" s="61" t="s">
        <v>72</v>
      </c>
      <c r="K11" s="65">
        <f>Parameters!Y10</f>
        <v>0</v>
      </c>
      <c r="L11" s="61" t="s">
        <v>74</v>
      </c>
    </row>
    <row r="12" spans="1:17" x14ac:dyDescent="0.2">
      <c r="A12" s="68" t="s">
        <v>14</v>
      </c>
      <c r="E12" s="65">
        <f>Parameters!Y9</f>
        <v>0</v>
      </c>
      <c r="F12" s="69"/>
      <c r="G12" s="78" t="s">
        <v>24</v>
      </c>
      <c r="H12" s="78">
        <v>0.15</v>
      </c>
      <c r="I12" s="61" t="s">
        <v>13</v>
      </c>
      <c r="J12" s="78" t="s">
        <v>25</v>
      </c>
      <c r="K12" s="78">
        <v>0.02</v>
      </c>
      <c r="L12" s="61" t="s">
        <v>13</v>
      </c>
    </row>
    <row r="13" spans="1:17" x14ac:dyDescent="0.2">
      <c r="A13" s="68" t="s">
        <v>8</v>
      </c>
      <c r="E13" s="69">
        <f>IF(E10&gt;0,D51,0)</f>
        <v>0</v>
      </c>
      <c r="F13" s="69"/>
    </row>
    <row r="15" spans="1:17" x14ac:dyDescent="0.2">
      <c r="A15" s="68" t="s">
        <v>1</v>
      </c>
      <c r="H15" s="69"/>
    </row>
    <row r="16" spans="1:17" x14ac:dyDescent="0.2">
      <c r="A16" s="67" t="s">
        <v>3</v>
      </c>
      <c r="D16" s="68" t="s">
        <v>75</v>
      </c>
      <c r="H16" s="74">
        <f>E7/3600/(0.785*(0.001*E11)*(0.001*E11))</f>
        <v>0</v>
      </c>
      <c r="I16" s="69" t="s">
        <v>2</v>
      </c>
    </row>
    <row r="17" spans="1:12" x14ac:dyDescent="0.2">
      <c r="A17" s="67" t="s">
        <v>10</v>
      </c>
      <c r="D17" s="68" t="s">
        <v>76</v>
      </c>
      <c r="H17" s="74">
        <f>H16*0.001*E11/E9*1000000</f>
        <v>0</v>
      </c>
      <c r="I17" s="77">
        <f>H17</f>
        <v>0</v>
      </c>
    </row>
    <row r="18" spans="1:12" x14ac:dyDescent="0.2">
      <c r="A18" s="67" t="s">
        <v>32</v>
      </c>
      <c r="D18" s="68"/>
      <c r="H18" s="76">
        <f>H12/E11</f>
        <v>7.5000000000000002E-4</v>
      </c>
      <c r="I18" s="69"/>
    </row>
    <row r="19" spans="1:12" x14ac:dyDescent="0.2">
      <c r="A19" s="67" t="s">
        <v>26</v>
      </c>
      <c r="D19" s="68"/>
      <c r="H19" s="74">
        <f>H17*H12/E11</f>
        <v>0</v>
      </c>
      <c r="I19" s="69"/>
    </row>
    <row r="20" spans="1:12" x14ac:dyDescent="0.2">
      <c r="A20" s="67"/>
      <c r="D20" s="68"/>
      <c r="H20" s="74"/>
      <c r="I20" s="69"/>
    </row>
    <row r="21" spans="1:12" x14ac:dyDescent="0.2">
      <c r="A21" s="67" t="s">
        <v>78</v>
      </c>
      <c r="D21" s="61" t="s">
        <v>77</v>
      </c>
      <c r="H21" s="76">
        <f>IF((E7&gt;0),64/H17,0)</f>
        <v>0</v>
      </c>
      <c r="I21" s="69"/>
    </row>
    <row r="22" spans="1:12" x14ac:dyDescent="0.2">
      <c r="A22" s="67" t="s">
        <v>80</v>
      </c>
      <c r="D22" s="61" t="s">
        <v>79</v>
      </c>
      <c r="H22" s="76">
        <f>IF((E7&gt;0),(0.0055*(1+(20000*IF(E12&gt;1,K12/1000,H12/1000)/(0.001*E11)+1000000/H17)^0.333333)),0)</f>
        <v>0</v>
      </c>
      <c r="I22" s="69"/>
    </row>
    <row r="23" spans="1:12" x14ac:dyDescent="0.2">
      <c r="A23" s="61" t="s">
        <v>82</v>
      </c>
      <c r="D23" s="61" t="s">
        <v>81</v>
      </c>
      <c r="H23" s="75">
        <f>((IF(H17&gt;2320,H22,H21))*E10/(0.001*E11)+E13)*E8*H16*H16/(2*100000)</f>
        <v>0</v>
      </c>
      <c r="I23" s="69" t="s">
        <v>52</v>
      </c>
      <c r="J23" s="61" t="s">
        <v>19</v>
      </c>
    </row>
    <row r="24" spans="1:12" x14ac:dyDescent="0.2">
      <c r="H24" s="74">
        <f>+H23*100/(9.81)</f>
        <v>0</v>
      </c>
      <c r="I24" s="69" t="s">
        <v>15</v>
      </c>
      <c r="J24" s="61" t="s">
        <v>20</v>
      </c>
    </row>
    <row r="25" spans="1:12" x14ac:dyDescent="0.2">
      <c r="H25" s="69" t="s">
        <v>16</v>
      </c>
      <c r="I25" s="69"/>
    </row>
    <row r="26" spans="1:12" s="73" customFormat="1" hidden="1" x14ac:dyDescent="0.2"/>
    <row r="27" spans="1:12" hidden="1" x14ac:dyDescent="0.2"/>
    <row r="28" spans="1:12" hidden="1" x14ac:dyDescent="0.2">
      <c r="A28" s="61" t="s">
        <v>41</v>
      </c>
      <c r="D28" s="61" t="s">
        <v>18</v>
      </c>
      <c r="H28" s="61" t="s">
        <v>21</v>
      </c>
      <c r="L28" s="61" t="s">
        <v>23</v>
      </c>
    </row>
    <row r="29" spans="1:12" hidden="1" x14ac:dyDescent="0.2">
      <c r="D29" s="72" t="s">
        <v>22</v>
      </c>
      <c r="F29" s="61" t="s">
        <v>42</v>
      </c>
      <c r="H29" s="71" t="s">
        <v>35</v>
      </c>
      <c r="L29" s="70" t="s">
        <v>36</v>
      </c>
    </row>
    <row r="30" spans="1:12" hidden="1" x14ac:dyDescent="0.2">
      <c r="B30" s="61" t="s">
        <v>28</v>
      </c>
    </row>
    <row r="31" spans="1:12" hidden="1" x14ac:dyDescent="0.2">
      <c r="C31" s="61" t="s">
        <v>27</v>
      </c>
      <c r="D31" s="69" t="e">
        <f>0.3164*H17^-0.25</f>
        <v>#DIV/0!</v>
      </c>
      <c r="E31" s="61" t="s">
        <v>39</v>
      </c>
      <c r="F31" s="61" t="s">
        <v>43</v>
      </c>
      <c r="G31" s="61" t="s">
        <v>30</v>
      </c>
      <c r="H31" s="61">
        <f>(1/(2*LOG10((E11/H12))+1.14))^2</f>
        <v>1.831156760100059E-2</v>
      </c>
      <c r="I31" s="61" t="s">
        <v>37</v>
      </c>
      <c r="K31" s="61" t="s">
        <v>34</v>
      </c>
      <c r="L31" s="61" t="e">
        <f>1/(-2*LOG10(H12/(3.72*E11)+2.51/H17*((H17*E11/H12)^0.0625)*(1/0.48)))^2</f>
        <v>#DIV/0!</v>
      </c>
    </row>
    <row r="32" spans="1:12" hidden="1" x14ac:dyDescent="0.2">
      <c r="C32" s="61" t="s">
        <v>29</v>
      </c>
      <c r="D32" s="61" t="e">
        <f>0.0032+0.221*H17^-0.237</f>
        <v>#DIV/0!</v>
      </c>
      <c r="E32" s="61" t="s">
        <v>37</v>
      </c>
      <c r="F32" s="61" t="s">
        <v>44</v>
      </c>
      <c r="G32" s="61" t="s">
        <v>31</v>
      </c>
      <c r="H32" s="61">
        <f>0.0055+0.15*(H12/E11)^(1/3)</f>
        <v>1.9128404446241053E-2</v>
      </c>
      <c r="I32" s="61" t="s">
        <v>38</v>
      </c>
    </row>
    <row r="33" spans="1:12" hidden="1" x14ac:dyDescent="0.2">
      <c r="C33" s="61" t="s">
        <v>33</v>
      </c>
      <c r="D33" s="61" t="e">
        <f>0.0054+0.3964/H17^0.3</f>
        <v>#DIV/0!</v>
      </c>
      <c r="E33" s="61" t="s">
        <v>40</v>
      </c>
      <c r="F33" s="61" t="s">
        <v>45</v>
      </c>
    </row>
    <row r="34" spans="1:12" hidden="1" x14ac:dyDescent="0.2"/>
    <row r="36" spans="1:12" x14ac:dyDescent="0.2">
      <c r="A36" s="68" t="s">
        <v>47</v>
      </c>
      <c r="B36" s="61" t="s">
        <v>49</v>
      </c>
      <c r="C36" s="61" t="s">
        <v>48</v>
      </c>
      <c r="D36" s="61" t="s">
        <v>50</v>
      </c>
      <c r="F36" s="61" t="s">
        <v>58</v>
      </c>
    </row>
    <row r="37" spans="1:12" x14ac:dyDescent="0.2">
      <c r="A37" s="67" t="s">
        <v>53</v>
      </c>
      <c r="B37" s="65">
        <f>Parameters!Y11</f>
        <v>0</v>
      </c>
      <c r="C37" s="62">
        <v>5</v>
      </c>
      <c r="D37" s="62">
        <f t="shared" ref="D37:D49" si="0">B37*C37</f>
        <v>0</v>
      </c>
    </row>
    <row r="38" spans="1:12" x14ac:dyDescent="0.2">
      <c r="A38" s="67" t="s">
        <v>54</v>
      </c>
      <c r="B38" s="65">
        <f>Parameters!Y12</f>
        <v>0</v>
      </c>
      <c r="C38" s="62">
        <v>0.5</v>
      </c>
      <c r="D38" s="62">
        <f t="shared" si="0"/>
        <v>0</v>
      </c>
      <c r="I38" s="63"/>
    </row>
    <row r="39" spans="1:12" x14ac:dyDescent="0.2">
      <c r="A39" s="67" t="s">
        <v>62</v>
      </c>
      <c r="B39" s="65">
        <f>Parameters!Y13</f>
        <v>0</v>
      </c>
      <c r="C39" s="62">
        <v>4</v>
      </c>
      <c r="D39" s="62">
        <f t="shared" si="0"/>
        <v>0</v>
      </c>
      <c r="I39" s="63"/>
    </row>
    <row r="40" spans="1:12" x14ac:dyDescent="0.2">
      <c r="A40" s="61" t="s">
        <v>94</v>
      </c>
      <c r="B40" s="65">
        <f>Parameters!Y14</f>
        <v>0</v>
      </c>
      <c r="C40" s="62">
        <v>5</v>
      </c>
      <c r="D40" s="62">
        <f t="shared" si="0"/>
        <v>0</v>
      </c>
      <c r="I40" s="63"/>
    </row>
    <row r="41" spans="1:12" x14ac:dyDescent="0.2">
      <c r="A41" s="66" t="s">
        <v>95</v>
      </c>
      <c r="B41" s="65">
        <f>Parameters!Y15</f>
        <v>0</v>
      </c>
      <c r="C41" s="62">
        <v>0.5</v>
      </c>
      <c r="D41" s="62">
        <f t="shared" si="0"/>
        <v>0</v>
      </c>
      <c r="I41" s="63"/>
    </row>
    <row r="42" spans="1:12" x14ac:dyDescent="0.2">
      <c r="A42" s="61" t="s">
        <v>63</v>
      </c>
      <c r="B42" s="65">
        <f>Parameters!Y16</f>
        <v>0</v>
      </c>
      <c r="C42" s="62">
        <v>0.5</v>
      </c>
      <c r="D42" s="62">
        <f t="shared" si="0"/>
        <v>0</v>
      </c>
      <c r="L42" s="63"/>
    </row>
    <row r="43" spans="1:12" x14ac:dyDescent="0.2">
      <c r="A43" s="61" t="s">
        <v>64</v>
      </c>
      <c r="B43" s="65">
        <f>Parameters!Y17</f>
        <v>0</v>
      </c>
      <c r="C43" s="62">
        <v>1</v>
      </c>
      <c r="D43" s="62">
        <f t="shared" si="0"/>
        <v>0</v>
      </c>
      <c r="L43" s="63"/>
    </row>
    <row r="44" spans="1:12" x14ac:dyDescent="0.2">
      <c r="A44" s="61" t="s">
        <v>51</v>
      </c>
      <c r="B44" s="65">
        <f>Parameters!Y18</f>
        <v>0</v>
      </c>
      <c r="C44" s="62">
        <f>IF(H17&gt;2300,0.35,3.5)</f>
        <v>3.5</v>
      </c>
      <c r="D44" s="62">
        <f t="shared" si="0"/>
        <v>0</v>
      </c>
      <c r="F44" s="61" t="s">
        <v>89</v>
      </c>
      <c r="L44" s="63"/>
    </row>
    <row r="45" spans="1:12" x14ac:dyDescent="0.2">
      <c r="A45" s="61" t="s">
        <v>59</v>
      </c>
      <c r="B45" s="65">
        <f>Parameters!Y19</f>
        <v>0</v>
      </c>
      <c r="C45" s="62">
        <v>1</v>
      </c>
      <c r="D45" s="62">
        <f t="shared" si="0"/>
        <v>0</v>
      </c>
      <c r="I45" s="63"/>
    </row>
    <row r="46" spans="1:12" x14ac:dyDescent="0.2">
      <c r="A46" s="61" t="s">
        <v>60</v>
      </c>
      <c r="B46" s="65">
        <f>Parameters!Y20</f>
        <v>0</v>
      </c>
      <c r="C46" s="62">
        <v>0.1</v>
      </c>
      <c r="D46" s="62">
        <f t="shared" si="0"/>
        <v>0</v>
      </c>
      <c r="I46" s="63"/>
    </row>
    <row r="47" spans="1:12" x14ac:dyDescent="0.2">
      <c r="A47" s="61" t="s">
        <v>56</v>
      </c>
      <c r="B47" s="65">
        <f>Parameters!Y21</f>
        <v>0</v>
      </c>
      <c r="C47" s="62">
        <v>1</v>
      </c>
      <c r="D47" s="62">
        <f t="shared" si="0"/>
        <v>0</v>
      </c>
      <c r="I47" s="63"/>
    </row>
    <row r="48" spans="1:12" x14ac:dyDescent="0.2">
      <c r="A48" s="61" t="s">
        <v>57</v>
      </c>
      <c r="B48" s="65">
        <f>Parameters!Y22</f>
        <v>0</v>
      </c>
      <c r="C48" s="62">
        <v>6</v>
      </c>
      <c r="D48" s="62">
        <f t="shared" si="0"/>
        <v>0</v>
      </c>
      <c r="I48" s="63"/>
    </row>
    <row r="49" spans="1:9" x14ac:dyDescent="0.2">
      <c r="A49" s="61" t="s">
        <v>61</v>
      </c>
      <c r="B49" s="65">
        <f>Parameters!Y23</f>
        <v>0</v>
      </c>
      <c r="C49" s="62">
        <v>0.2</v>
      </c>
      <c r="D49" s="62">
        <f t="shared" si="0"/>
        <v>0</v>
      </c>
      <c r="I49" s="63"/>
    </row>
    <row r="50" spans="1:9" x14ac:dyDescent="0.2">
      <c r="B50" s="64"/>
      <c r="C50" s="62"/>
      <c r="D50" s="62"/>
      <c r="I50" s="63"/>
    </row>
    <row r="51" spans="1:9" x14ac:dyDescent="0.2">
      <c r="A51" s="61" t="s">
        <v>46</v>
      </c>
      <c r="B51" s="62"/>
      <c r="C51" s="62"/>
      <c r="D51" s="62">
        <f>SUM(D37:D50)</f>
        <v>0</v>
      </c>
    </row>
  </sheetData>
  <conditionalFormatting sqref="D28">
    <cfRule type="cellIs" dxfId="19" priority="1" stopIfTrue="1" operator="lessThan">
      <formula>65</formula>
    </cfRule>
  </conditionalFormatting>
  <conditionalFormatting sqref="E7 E12 E10 K11 B37:B49">
    <cfRule type="cellIs" dxfId="18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2">
    <pageSetUpPr fitToPage="1"/>
  </sheetPr>
  <dimension ref="A2:Q51"/>
  <sheetViews>
    <sheetView workbookViewId="0">
      <selection activeCell="E9" sqref="E9"/>
    </sheetView>
  </sheetViews>
  <sheetFormatPr defaultRowHeight="12.75" x14ac:dyDescent="0.2"/>
  <cols>
    <col min="1" max="1" width="12.140625" style="61" customWidth="1"/>
    <col min="2" max="3" width="9.140625" style="61"/>
    <col min="4" max="4" width="12.42578125" style="61" bestFit="1" customWidth="1"/>
    <col min="5" max="5" width="12" style="61" bestFit="1" customWidth="1"/>
    <col min="6" max="6" width="10.7109375" style="61" customWidth="1"/>
    <col min="7" max="7" width="12.42578125" style="61" bestFit="1" customWidth="1"/>
    <col min="8" max="9" width="9.42578125" style="61" customWidth="1"/>
    <col min="10" max="10" width="14.140625" style="61" bestFit="1" customWidth="1"/>
    <col min="11" max="11" width="5" style="61" bestFit="1" customWidth="1"/>
    <col min="12" max="12" width="14.85546875" style="61" bestFit="1" customWidth="1"/>
    <col min="13" max="13" width="3.7109375" style="61" bestFit="1" customWidth="1"/>
    <col min="14" max="14" width="8.85546875" style="61" bestFit="1" customWidth="1"/>
    <col min="15" max="15" width="3.7109375" style="61" bestFit="1" customWidth="1"/>
    <col min="16" max="16" width="7.42578125" style="61" bestFit="1" customWidth="1"/>
    <col min="17" max="17" width="3.7109375" style="61" bestFit="1" customWidth="1"/>
    <col min="18" max="18" width="6.85546875" style="61" bestFit="1" customWidth="1"/>
    <col min="19" max="16384" width="9.140625" style="61"/>
  </cols>
  <sheetData>
    <row r="2" spans="1:17" ht="15.75" x14ac:dyDescent="0.25">
      <c r="A2" s="80" t="s">
        <v>0</v>
      </c>
    </row>
    <row r="6" spans="1:17" x14ac:dyDescent="0.2">
      <c r="A6" s="79" t="s">
        <v>85</v>
      </c>
    </row>
    <row r="7" spans="1:17" x14ac:dyDescent="0.2">
      <c r="A7" s="68" t="s">
        <v>4</v>
      </c>
      <c r="E7" s="65">
        <f>Parameters!Z7</f>
        <v>0</v>
      </c>
      <c r="F7" s="69" t="s">
        <v>86</v>
      </c>
    </row>
    <row r="8" spans="1:17" x14ac:dyDescent="0.2">
      <c r="A8" s="68" t="s">
        <v>5</v>
      </c>
      <c r="E8" s="69">
        <f>total!F18</f>
        <v>1025</v>
      </c>
      <c r="F8" s="69" t="s">
        <v>11</v>
      </c>
      <c r="Q8" s="78"/>
    </row>
    <row r="9" spans="1:17" x14ac:dyDescent="0.2">
      <c r="A9" s="68" t="s">
        <v>9</v>
      </c>
      <c r="E9" s="69">
        <f>total!F17</f>
        <v>1</v>
      </c>
      <c r="F9" s="69" t="s">
        <v>73</v>
      </c>
    </row>
    <row r="10" spans="1:17" x14ac:dyDescent="0.2">
      <c r="A10" s="68" t="s">
        <v>6</v>
      </c>
      <c r="E10" s="65">
        <f>Parameters!Z8</f>
        <v>0</v>
      </c>
      <c r="F10" s="69" t="s">
        <v>12</v>
      </c>
    </row>
    <row r="11" spans="1:17" x14ac:dyDescent="0.2">
      <c r="A11" s="68" t="s">
        <v>7</v>
      </c>
      <c r="E11" s="69">
        <f>VLOOKUP(H11,'pipe dimensions'!A1:D21,K11+1)</f>
        <v>150</v>
      </c>
      <c r="F11" s="69" t="s">
        <v>13</v>
      </c>
      <c r="G11" s="78" t="s">
        <v>68</v>
      </c>
      <c r="H11" s="78">
        <v>150</v>
      </c>
      <c r="J11" s="61" t="s">
        <v>72</v>
      </c>
      <c r="K11" s="65">
        <f>Parameters!Z10</f>
        <v>0</v>
      </c>
      <c r="L11" s="61" t="s">
        <v>74</v>
      </c>
    </row>
    <row r="12" spans="1:17" x14ac:dyDescent="0.2">
      <c r="A12" s="68" t="s">
        <v>14</v>
      </c>
      <c r="E12" s="65">
        <f>Parameters!Z9</f>
        <v>0</v>
      </c>
      <c r="F12" s="69"/>
      <c r="G12" s="78" t="s">
        <v>24</v>
      </c>
      <c r="H12" s="78">
        <v>0.15</v>
      </c>
      <c r="I12" s="61" t="s">
        <v>13</v>
      </c>
      <c r="J12" s="78" t="s">
        <v>25</v>
      </c>
      <c r="K12" s="78">
        <v>0.02</v>
      </c>
      <c r="L12" s="61" t="s">
        <v>13</v>
      </c>
    </row>
    <row r="13" spans="1:17" x14ac:dyDescent="0.2">
      <c r="A13" s="68" t="s">
        <v>8</v>
      </c>
      <c r="E13" s="69">
        <f>IF(E10&gt;0,D51,0)</f>
        <v>0</v>
      </c>
      <c r="F13" s="69"/>
    </row>
    <row r="15" spans="1:17" x14ac:dyDescent="0.2">
      <c r="A15" s="68" t="s">
        <v>1</v>
      </c>
      <c r="H15" s="69"/>
    </row>
    <row r="16" spans="1:17" x14ac:dyDescent="0.2">
      <c r="A16" s="67" t="s">
        <v>3</v>
      </c>
      <c r="D16" s="68" t="s">
        <v>75</v>
      </c>
      <c r="H16" s="74">
        <f>E7/3600/(0.785*(0.001*E11)*(0.001*E11))</f>
        <v>0</v>
      </c>
      <c r="I16" s="69" t="s">
        <v>2</v>
      </c>
    </row>
    <row r="17" spans="1:12" x14ac:dyDescent="0.2">
      <c r="A17" s="67" t="s">
        <v>10</v>
      </c>
      <c r="D17" s="68" t="s">
        <v>76</v>
      </c>
      <c r="H17" s="74">
        <f>H16*0.001*E11/E9*1000000</f>
        <v>0</v>
      </c>
      <c r="I17" s="77">
        <f>H17</f>
        <v>0</v>
      </c>
    </row>
    <row r="18" spans="1:12" x14ac:dyDescent="0.2">
      <c r="A18" s="67" t="s">
        <v>32</v>
      </c>
      <c r="D18" s="68"/>
      <c r="H18" s="76">
        <f>H12/E11</f>
        <v>1E-3</v>
      </c>
      <c r="I18" s="69"/>
    </row>
    <row r="19" spans="1:12" x14ac:dyDescent="0.2">
      <c r="A19" s="67" t="s">
        <v>26</v>
      </c>
      <c r="D19" s="68"/>
      <c r="H19" s="74">
        <f>H17*H12/E11</f>
        <v>0</v>
      </c>
      <c r="I19" s="69"/>
    </row>
    <row r="20" spans="1:12" x14ac:dyDescent="0.2">
      <c r="A20" s="67"/>
      <c r="D20" s="68"/>
      <c r="H20" s="74"/>
      <c r="I20" s="69"/>
    </row>
    <row r="21" spans="1:12" x14ac:dyDescent="0.2">
      <c r="A21" s="67" t="s">
        <v>78</v>
      </c>
      <c r="D21" s="61" t="s">
        <v>77</v>
      </c>
      <c r="H21" s="76">
        <f>IF((E7&gt;0),64/H17,0)</f>
        <v>0</v>
      </c>
      <c r="I21" s="69"/>
    </row>
    <row r="22" spans="1:12" x14ac:dyDescent="0.2">
      <c r="A22" s="67" t="s">
        <v>80</v>
      </c>
      <c r="D22" s="61" t="s">
        <v>79</v>
      </c>
      <c r="H22" s="76">
        <f>IF((E7&gt;0),(0.0055*(1+(20000*IF(E12&gt;1,K12/1000,H12/1000)/(0.001*E11)+1000000/H17)^0.333333)),0)</f>
        <v>0</v>
      </c>
      <c r="I22" s="69"/>
    </row>
    <row r="23" spans="1:12" x14ac:dyDescent="0.2">
      <c r="A23" s="61" t="s">
        <v>82</v>
      </c>
      <c r="D23" s="61" t="s">
        <v>81</v>
      </c>
      <c r="H23" s="75">
        <f>((IF(H17&gt;2320,H22,H21))*E10/(0.001*E11)+E13)*E8*H16*H16/(2*100000)</f>
        <v>0</v>
      </c>
      <c r="I23" s="69" t="s">
        <v>52</v>
      </c>
      <c r="J23" s="61" t="s">
        <v>19</v>
      </c>
    </row>
    <row r="24" spans="1:12" x14ac:dyDescent="0.2">
      <c r="H24" s="74">
        <f>+H23*100/(9.81)</f>
        <v>0</v>
      </c>
      <c r="I24" s="69" t="s">
        <v>15</v>
      </c>
      <c r="J24" s="61" t="s">
        <v>20</v>
      </c>
    </row>
    <row r="25" spans="1:12" x14ac:dyDescent="0.2">
      <c r="H25" s="69" t="s">
        <v>16</v>
      </c>
      <c r="I25" s="69"/>
    </row>
    <row r="26" spans="1:12" s="73" customFormat="1" hidden="1" x14ac:dyDescent="0.2"/>
    <row r="27" spans="1:12" hidden="1" x14ac:dyDescent="0.2"/>
    <row r="28" spans="1:12" hidden="1" x14ac:dyDescent="0.2">
      <c r="A28" s="61" t="s">
        <v>41</v>
      </c>
      <c r="D28" s="61" t="s">
        <v>18</v>
      </c>
      <c r="H28" s="61" t="s">
        <v>21</v>
      </c>
      <c r="L28" s="61" t="s">
        <v>23</v>
      </c>
    </row>
    <row r="29" spans="1:12" hidden="1" x14ac:dyDescent="0.2">
      <c r="D29" s="72" t="s">
        <v>22</v>
      </c>
      <c r="F29" s="61" t="s">
        <v>42</v>
      </c>
      <c r="H29" s="71" t="s">
        <v>35</v>
      </c>
      <c r="L29" s="70" t="s">
        <v>36</v>
      </c>
    </row>
    <row r="30" spans="1:12" hidden="1" x14ac:dyDescent="0.2">
      <c r="B30" s="61" t="s">
        <v>28</v>
      </c>
    </row>
    <row r="31" spans="1:12" hidden="1" x14ac:dyDescent="0.2">
      <c r="C31" s="61" t="s">
        <v>27</v>
      </c>
      <c r="D31" s="69" t="e">
        <f>0.3164*H17^-0.25</f>
        <v>#DIV/0!</v>
      </c>
      <c r="E31" s="61" t="s">
        <v>39</v>
      </c>
      <c r="F31" s="61" t="s">
        <v>43</v>
      </c>
      <c r="G31" s="61" t="s">
        <v>30</v>
      </c>
      <c r="H31" s="61">
        <f>(1/(2*LOG10((E11/H12))+1.14))^2</f>
        <v>1.961568941302011E-2</v>
      </c>
      <c r="I31" s="61" t="s">
        <v>37</v>
      </c>
      <c r="K31" s="61" t="s">
        <v>34</v>
      </c>
      <c r="L31" s="61" t="e">
        <f>1/(-2*LOG10(H12/(3.72*E11)+2.51/H17*((H17*E11/H12)^0.0625)*(1/0.48)))^2</f>
        <v>#DIV/0!</v>
      </c>
    </row>
    <row r="32" spans="1:12" hidden="1" x14ac:dyDescent="0.2">
      <c r="C32" s="61" t="s">
        <v>29</v>
      </c>
      <c r="D32" s="61" t="e">
        <f>0.0032+0.221*H17^-0.237</f>
        <v>#DIV/0!</v>
      </c>
      <c r="E32" s="61" t="s">
        <v>37</v>
      </c>
      <c r="F32" s="61" t="s">
        <v>44</v>
      </c>
      <c r="G32" s="61" t="s">
        <v>31</v>
      </c>
      <c r="H32" s="61">
        <f>0.0055+0.15*(H12/E11)^(1/3)</f>
        <v>2.0500000000000004E-2</v>
      </c>
      <c r="I32" s="61" t="s">
        <v>38</v>
      </c>
    </row>
    <row r="33" spans="1:12" hidden="1" x14ac:dyDescent="0.2">
      <c r="C33" s="61" t="s">
        <v>33</v>
      </c>
      <c r="D33" s="61" t="e">
        <f>0.0054+0.3964/H17^0.3</f>
        <v>#DIV/0!</v>
      </c>
      <c r="E33" s="61" t="s">
        <v>40</v>
      </c>
      <c r="F33" s="61" t="s">
        <v>45</v>
      </c>
    </row>
    <row r="34" spans="1:12" hidden="1" x14ac:dyDescent="0.2"/>
    <row r="36" spans="1:12" x14ac:dyDescent="0.2">
      <c r="A36" s="68" t="s">
        <v>47</v>
      </c>
      <c r="B36" s="61" t="s">
        <v>49</v>
      </c>
      <c r="C36" s="61" t="s">
        <v>48</v>
      </c>
      <c r="D36" s="61" t="s">
        <v>50</v>
      </c>
      <c r="F36" s="61" t="s">
        <v>58</v>
      </c>
    </row>
    <row r="37" spans="1:12" x14ac:dyDescent="0.2">
      <c r="A37" s="67" t="s">
        <v>53</v>
      </c>
      <c r="B37" s="65">
        <f>Parameters!Z11</f>
        <v>0</v>
      </c>
      <c r="C37" s="62">
        <v>5</v>
      </c>
      <c r="D37" s="62">
        <f t="shared" ref="D37:D49" si="0">B37*C37</f>
        <v>0</v>
      </c>
    </row>
    <row r="38" spans="1:12" x14ac:dyDescent="0.2">
      <c r="A38" s="67" t="s">
        <v>54</v>
      </c>
      <c r="B38" s="65">
        <f>Parameters!Z12</f>
        <v>0</v>
      </c>
      <c r="C38" s="62">
        <v>0.5</v>
      </c>
      <c r="D38" s="62">
        <f t="shared" si="0"/>
        <v>0</v>
      </c>
      <c r="I38" s="63"/>
    </row>
    <row r="39" spans="1:12" x14ac:dyDescent="0.2">
      <c r="A39" s="67" t="s">
        <v>62</v>
      </c>
      <c r="B39" s="65">
        <f>Parameters!Z13</f>
        <v>0</v>
      </c>
      <c r="C39" s="62">
        <v>4</v>
      </c>
      <c r="D39" s="62">
        <f t="shared" si="0"/>
        <v>0</v>
      </c>
      <c r="I39" s="63"/>
    </row>
    <row r="40" spans="1:12" x14ac:dyDescent="0.2">
      <c r="A40" s="61" t="s">
        <v>94</v>
      </c>
      <c r="B40" s="65">
        <f>Parameters!Z14</f>
        <v>0</v>
      </c>
      <c r="C40" s="62">
        <v>5</v>
      </c>
      <c r="D40" s="62">
        <f t="shared" si="0"/>
        <v>0</v>
      </c>
      <c r="I40" s="63"/>
    </row>
    <row r="41" spans="1:12" x14ac:dyDescent="0.2">
      <c r="A41" s="66" t="s">
        <v>95</v>
      </c>
      <c r="B41" s="65">
        <f>Parameters!Z15</f>
        <v>0</v>
      </c>
      <c r="C41" s="62">
        <v>0.5</v>
      </c>
      <c r="D41" s="62">
        <f t="shared" si="0"/>
        <v>0</v>
      </c>
      <c r="I41" s="63"/>
    </row>
    <row r="42" spans="1:12" x14ac:dyDescent="0.2">
      <c r="A42" s="61" t="s">
        <v>63</v>
      </c>
      <c r="B42" s="65">
        <f>Parameters!Z16</f>
        <v>0</v>
      </c>
      <c r="C42" s="62">
        <v>0.5</v>
      </c>
      <c r="D42" s="62">
        <f t="shared" si="0"/>
        <v>0</v>
      </c>
      <c r="L42" s="63"/>
    </row>
    <row r="43" spans="1:12" x14ac:dyDescent="0.2">
      <c r="A43" s="61" t="s">
        <v>64</v>
      </c>
      <c r="B43" s="65">
        <f>Parameters!Z17</f>
        <v>0</v>
      </c>
      <c r="C43" s="62">
        <v>1</v>
      </c>
      <c r="D43" s="62">
        <f t="shared" si="0"/>
        <v>0</v>
      </c>
      <c r="L43" s="63"/>
    </row>
    <row r="44" spans="1:12" x14ac:dyDescent="0.2">
      <c r="A44" s="61" t="s">
        <v>51</v>
      </c>
      <c r="B44" s="65">
        <f>Parameters!Z18</f>
        <v>0</v>
      </c>
      <c r="C44" s="62">
        <f>IF(H17&gt;2300,0.35,3.5)</f>
        <v>3.5</v>
      </c>
      <c r="D44" s="62">
        <f t="shared" si="0"/>
        <v>0</v>
      </c>
      <c r="F44" s="61" t="s">
        <v>89</v>
      </c>
      <c r="L44" s="63"/>
    </row>
    <row r="45" spans="1:12" x14ac:dyDescent="0.2">
      <c r="A45" s="61" t="s">
        <v>59</v>
      </c>
      <c r="B45" s="65">
        <f>Parameters!Z19</f>
        <v>0</v>
      </c>
      <c r="C45" s="62">
        <v>1</v>
      </c>
      <c r="D45" s="62">
        <f t="shared" si="0"/>
        <v>0</v>
      </c>
      <c r="I45" s="63"/>
    </row>
    <row r="46" spans="1:12" x14ac:dyDescent="0.2">
      <c r="A46" s="61" t="s">
        <v>60</v>
      </c>
      <c r="B46" s="65">
        <f>Parameters!Z20</f>
        <v>0</v>
      </c>
      <c r="C46" s="62">
        <v>0.1</v>
      </c>
      <c r="D46" s="62">
        <f t="shared" si="0"/>
        <v>0</v>
      </c>
      <c r="I46" s="63"/>
    </row>
    <row r="47" spans="1:12" x14ac:dyDescent="0.2">
      <c r="A47" s="61" t="s">
        <v>56</v>
      </c>
      <c r="B47" s="65">
        <f>Parameters!Z21</f>
        <v>0</v>
      </c>
      <c r="C47" s="62">
        <v>1</v>
      </c>
      <c r="D47" s="62">
        <f t="shared" si="0"/>
        <v>0</v>
      </c>
      <c r="I47" s="63"/>
    </row>
    <row r="48" spans="1:12" x14ac:dyDescent="0.2">
      <c r="A48" s="61" t="s">
        <v>57</v>
      </c>
      <c r="B48" s="65">
        <f>Parameters!Z22</f>
        <v>0</v>
      </c>
      <c r="C48" s="62">
        <v>6</v>
      </c>
      <c r="D48" s="62">
        <f t="shared" si="0"/>
        <v>0</v>
      </c>
      <c r="I48" s="63"/>
    </row>
    <row r="49" spans="1:9" x14ac:dyDescent="0.2">
      <c r="A49" s="61" t="s">
        <v>61</v>
      </c>
      <c r="B49" s="65">
        <f>Parameters!Z23</f>
        <v>0</v>
      </c>
      <c r="C49" s="62">
        <v>0.2</v>
      </c>
      <c r="D49" s="62">
        <f t="shared" si="0"/>
        <v>0</v>
      </c>
      <c r="I49" s="63"/>
    </row>
    <row r="50" spans="1:9" x14ac:dyDescent="0.2">
      <c r="B50" s="64"/>
      <c r="C50" s="62"/>
      <c r="D50" s="62"/>
      <c r="I50" s="63"/>
    </row>
    <row r="51" spans="1:9" x14ac:dyDescent="0.2">
      <c r="A51" s="61" t="s">
        <v>46</v>
      </c>
      <c r="B51" s="62"/>
      <c r="C51" s="62"/>
      <c r="D51" s="62">
        <f>SUM(D37:D50)</f>
        <v>0</v>
      </c>
    </row>
  </sheetData>
  <conditionalFormatting sqref="D28">
    <cfRule type="cellIs" dxfId="17" priority="1" stopIfTrue="1" operator="lessThan">
      <formula>65</formula>
    </cfRule>
  </conditionalFormatting>
  <conditionalFormatting sqref="E7 E12 E10 K11 B37:B49">
    <cfRule type="cellIs" dxfId="16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3">
    <pageSetUpPr fitToPage="1"/>
  </sheetPr>
  <dimension ref="A2:Q51"/>
  <sheetViews>
    <sheetView workbookViewId="0">
      <selection activeCell="E9" sqref="E9"/>
    </sheetView>
  </sheetViews>
  <sheetFormatPr defaultRowHeight="12.75" x14ac:dyDescent="0.2"/>
  <cols>
    <col min="1" max="1" width="12.140625" style="61" customWidth="1"/>
    <col min="2" max="3" width="9.140625" style="61"/>
    <col min="4" max="4" width="12.42578125" style="61" bestFit="1" customWidth="1"/>
    <col min="5" max="5" width="12" style="61" bestFit="1" customWidth="1"/>
    <col min="6" max="6" width="10.7109375" style="61" customWidth="1"/>
    <col min="7" max="7" width="12.42578125" style="61" bestFit="1" customWidth="1"/>
    <col min="8" max="9" width="9.42578125" style="61" customWidth="1"/>
    <col min="10" max="10" width="14.140625" style="61" bestFit="1" customWidth="1"/>
    <col min="11" max="11" width="5" style="61" bestFit="1" customWidth="1"/>
    <col min="12" max="12" width="14.85546875" style="61" bestFit="1" customWidth="1"/>
    <col min="13" max="13" width="3.7109375" style="61" bestFit="1" customWidth="1"/>
    <col min="14" max="14" width="8.85546875" style="61" bestFit="1" customWidth="1"/>
    <col min="15" max="15" width="3.7109375" style="61" bestFit="1" customWidth="1"/>
    <col min="16" max="16" width="7.42578125" style="61" bestFit="1" customWidth="1"/>
    <col min="17" max="17" width="3.7109375" style="61" bestFit="1" customWidth="1"/>
    <col min="18" max="18" width="6.85546875" style="61" bestFit="1" customWidth="1"/>
    <col min="19" max="16384" width="9.140625" style="61"/>
  </cols>
  <sheetData>
    <row r="2" spans="1:17" ht="15.75" x14ac:dyDescent="0.25">
      <c r="A2" s="80" t="s">
        <v>0</v>
      </c>
    </row>
    <row r="6" spans="1:17" x14ac:dyDescent="0.2">
      <c r="A6" s="79" t="s">
        <v>85</v>
      </c>
    </row>
    <row r="7" spans="1:17" x14ac:dyDescent="0.2">
      <c r="A7" s="68" t="s">
        <v>4</v>
      </c>
      <c r="E7" s="65">
        <f>Parameters!AA7</f>
        <v>0</v>
      </c>
      <c r="F7" s="69" t="s">
        <v>86</v>
      </c>
    </row>
    <row r="8" spans="1:17" x14ac:dyDescent="0.2">
      <c r="A8" s="68" t="s">
        <v>5</v>
      </c>
      <c r="E8" s="69">
        <f>total!F18</f>
        <v>1025</v>
      </c>
      <c r="F8" s="69" t="s">
        <v>11</v>
      </c>
      <c r="Q8" s="78"/>
    </row>
    <row r="9" spans="1:17" x14ac:dyDescent="0.2">
      <c r="A9" s="68" t="s">
        <v>9</v>
      </c>
      <c r="E9" s="69">
        <f>total!F17</f>
        <v>1</v>
      </c>
      <c r="F9" s="69" t="s">
        <v>73</v>
      </c>
    </row>
    <row r="10" spans="1:17" x14ac:dyDescent="0.2">
      <c r="A10" s="68" t="s">
        <v>6</v>
      </c>
      <c r="E10" s="65">
        <f>Parameters!AA8</f>
        <v>0</v>
      </c>
      <c r="F10" s="69" t="s">
        <v>12</v>
      </c>
    </row>
    <row r="11" spans="1:17" x14ac:dyDescent="0.2">
      <c r="A11" s="68" t="s">
        <v>7</v>
      </c>
      <c r="E11" s="69">
        <f>VLOOKUP(H11,'pipe dimensions'!A1:D21,K11+1)</f>
        <v>125</v>
      </c>
      <c r="F11" s="69" t="s">
        <v>13</v>
      </c>
      <c r="G11" s="78" t="s">
        <v>68</v>
      </c>
      <c r="H11" s="78">
        <v>125</v>
      </c>
      <c r="J11" s="61" t="s">
        <v>72</v>
      </c>
      <c r="K11" s="65">
        <f>Parameters!AA10</f>
        <v>0</v>
      </c>
      <c r="L11" s="61" t="s">
        <v>74</v>
      </c>
    </row>
    <row r="12" spans="1:17" x14ac:dyDescent="0.2">
      <c r="A12" s="68" t="s">
        <v>14</v>
      </c>
      <c r="E12" s="65">
        <f>Parameters!AA9</f>
        <v>0</v>
      </c>
      <c r="F12" s="69"/>
      <c r="G12" s="78" t="s">
        <v>24</v>
      </c>
      <c r="H12" s="78">
        <v>0.15</v>
      </c>
      <c r="I12" s="61" t="s">
        <v>13</v>
      </c>
      <c r="J12" s="78" t="s">
        <v>25</v>
      </c>
      <c r="K12" s="78">
        <v>0.02</v>
      </c>
      <c r="L12" s="61" t="s">
        <v>13</v>
      </c>
    </row>
    <row r="13" spans="1:17" x14ac:dyDescent="0.2">
      <c r="A13" s="68" t="s">
        <v>8</v>
      </c>
      <c r="E13" s="69">
        <f>IF(E10&gt;0,D51,0)</f>
        <v>0</v>
      </c>
      <c r="F13" s="69"/>
    </row>
    <row r="15" spans="1:17" x14ac:dyDescent="0.2">
      <c r="A15" s="68" t="s">
        <v>1</v>
      </c>
      <c r="H15" s="69"/>
    </row>
    <row r="16" spans="1:17" x14ac:dyDescent="0.2">
      <c r="A16" s="67" t="s">
        <v>3</v>
      </c>
      <c r="D16" s="68" t="s">
        <v>75</v>
      </c>
      <c r="H16" s="74">
        <f>E7/3600/(0.785*(0.001*E11)*(0.001*E11))</f>
        <v>0</v>
      </c>
      <c r="I16" s="69" t="s">
        <v>2</v>
      </c>
    </row>
    <row r="17" spans="1:12" x14ac:dyDescent="0.2">
      <c r="A17" s="67" t="s">
        <v>10</v>
      </c>
      <c r="D17" s="68" t="s">
        <v>76</v>
      </c>
      <c r="H17" s="74">
        <f>H16*0.001*E11/E9*1000000</f>
        <v>0</v>
      </c>
      <c r="I17" s="77">
        <f>H17</f>
        <v>0</v>
      </c>
    </row>
    <row r="18" spans="1:12" x14ac:dyDescent="0.2">
      <c r="A18" s="67" t="s">
        <v>32</v>
      </c>
      <c r="D18" s="68"/>
      <c r="H18" s="76">
        <f>H12/E11</f>
        <v>1.1999999999999999E-3</v>
      </c>
      <c r="I18" s="69"/>
    </row>
    <row r="19" spans="1:12" x14ac:dyDescent="0.2">
      <c r="A19" s="67" t="s">
        <v>26</v>
      </c>
      <c r="D19" s="68"/>
      <c r="H19" s="74">
        <f>H17*H12/E11</f>
        <v>0</v>
      </c>
      <c r="I19" s="69"/>
    </row>
    <row r="20" spans="1:12" x14ac:dyDescent="0.2">
      <c r="A20" s="67"/>
      <c r="D20" s="68"/>
      <c r="H20" s="74"/>
      <c r="I20" s="69"/>
    </row>
    <row r="21" spans="1:12" x14ac:dyDescent="0.2">
      <c r="A21" s="67" t="s">
        <v>78</v>
      </c>
      <c r="D21" s="61" t="s">
        <v>77</v>
      </c>
      <c r="H21" s="76">
        <f>IF((E7&gt;0),64/H17,0)</f>
        <v>0</v>
      </c>
      <c r="I21" s="69"/>
    </row>
    <row r="22" spans="1:12" x14ac:dyDescent="0.2">
      <c r="A22" s="67" t="s">
        <v>80</v>
      </c>
      <c r="D22" s="61" t="s">
        <v>79</v>
      </c>
      <c r="H22" s="76">
        <f>IF((E7&gt;0),(0.0055*(1+(20000*IF(E12&gt;1,K12/1000,H12/1000)/(0.001*E11)+1000000/H17)^0.333333)),0)</f>
        <v>0</v>
      </c>
      <c r="I22" s="69"/>
    </row>
    <row r="23" spans="1:12" x14ac:dyDescent="0.2">
      <c r="A23" s="61" t="s">
        <v>82</v>
      </c>
      <c r="D23" s="61" t="s">
        <v>81</v>
      </c>
      <c r="H23" s="75">
        <f>((IF(H17&gt;2320,H22,H21))*E10/(0.001*E11)+E13)*E8*H16*H16/(2*100000)</f>
        <v>0</v>
      </c>
      <c r="I23" s="69" t="s">
        <v>52</v>
      </c>
      <c r="J23" s="61" t="s">
        <v>19</v>
      </c>
    </row>
    <row r="24" spans="1:12" x14ac:dyDescent="0.2">
      <c r="H24" s="74">
        <f>+H23*100/(9.81)</f>
        <v>0</v>
      </c>
      <c r="I24" s="69" t="s">
        <v>15</v>
      </c>
      <c r="J24" s="61" t="s">
        <v>20</v>
      </c>
    </row>
    <row r="25" spans="1:12" x14ac:dyDescent="0.2">
      <c r="H25" s="69" t="s">
        <v>16</v>
      </c>
      <c r="I25" s="69"/>
    </row>
    <row r="26" spans="1:12" s="73" customFormat="1" hidden="1" x14ac:dyDescent="0.2"/>
    <row r="27" spans="1:12" hidden="1" x14ac:dyDescent="0.2"/>
    <row r="28" spans="1:12" hidden="1" x14ac:dyDescent="0.2">
      <c r="A28" s="61" t="s">
        <v>41</v>
      </c>
      <c r="D28" s="61" t="s">
        <v>18</v>
      </c>
      <c r="H28" s="61" t="s">
        <v>21</v>
      </c>
      <c r="L28" s="61" t="s">
        <v>23</v>
      </c>
    </row>
    <row r="29" spans="1:12" hidden="1" x14ac:dyDescent="0.2">
      <c r="D29" s="72" t="s">
        <v>22</v>
      </c>
      <c r="F29" s="61" t="s">
        <v>42</v>
      </c>
      <c r="H29" s="71" t="s">
        <v>35</v>
      </c>
      <c r="L29" s="70" t="s">
        <v>36</v>
      </c>
    </row>
    <row r="30" spans="1:12" hidden="1" x14ac:dyDescent="0.2">
      <c r="B30" s="61" t="s">
        <v>28</v>
      </c>
    </row>
    <row r="31" spans="1:12" hidden="1" x14ac:dyDescent="0.2">
      <c r="C31" s="61" t="s">
        <v>27</v>
      </c>
      <c r="D31" s="69" t="e">
        <f>0.3164*H17^-0.25</f>
        <v>#DIV/0!</v>
      </c>
      <c r="E31" s="61" t="s">
        <v>39</v>
      </c>
      <c r="F31" s="61" t="s">
        <v>43</v>
      </c>
      <c r="G31" s="61" t="s">
        <v>30</v>
      </c>
      <c r="H31" s="61">
        <f>(1/(2*LOG10((E11/H12))+1.14))^2</f>
        <v>2.0515655969308984E-2</v>
      </c>
      <c r="I31" s="61" t="s">
        <v>37</v>
      </c>
      <c r="K31" s="61" t="s">
        <v>34</v>
      </c>
      <c r="L31" s="61" t="e">
        <f>1/(-2*LOG10(H12/(3.72*E11)+2.51/H17*((H17*E11/H12)^0.0625)*(1/0.48)))^2</f>
        <v>#DIV/0!</v>
      </c>
    </row>
    <row r="32" spans="1:12" hidden="1" x14ac:dyDescent="0.2">
      <c r="C32" s="61" t="s">
        <v>29</v>
      </c>
      <c r="D32" s="61" t="e">
        <f>0.0032+0.221*H17^-0.237</f>
        <v>#DIV/0!</v>
      </c>
      <c r="E32" s="61" t="s">
        <v>37</v>
      </c>
      <c r="F32" s="61" t="s">
        <v>44</v>
      </c>
      <c r="G32" s="61" t="s">
        <v>31</v>
      </c>
      <c r="H32" s="61">
        <f>0.0055+0.15*(H12/E11)^(1/3)</f>
        <v>2.1439878537739168E-2</v>
      </c>
      <c r="I32" s="61" t="s">
        <v>38</v>
      </c>
    </row>
    <row r="33" spans="1:12" hidden="1" x14ac:dyDescent="0.2">
      <c r="C33" s="61" t="s">
        <v>33</v>
      </c>
      <c r="D33" s="61" t="e">
        <f>0.0054+0.3964/H17^0.3</f>
        <v>#DIV/0!</v>
      </c>
      <c r="E33" s="61" t="s">
        <v>40</v>
      </c>
      <c r="F33" s="61" t="s">
        <v>45</v>
      </c>
    </row>
    <row r="34" spans="1:12" hidden="1" x14ac:dyDescent="0.2"/>
    <row r="36" spans="1:12" x14ac:dyDescent="0.2">
      <c r="A36" s="68" t="s">
        <v>47</v>
      </c>
      <c r="B36" s="61" t="s">
        <v>49</v>
      </c>
      <c r="C36" s="61" t="s">
        <v>48</v>
      </c>
      <c r="D36" s="61" t="s">
        <v>50</v>
      </c>
      <c r="F36" s="61" t="s">
        <v>58</v>
      </c>
    </row>
    <row r="37" spans="1:12" x14ac:dyDescent="0.2">
      <c r="A37" s="67" t="s">
        <v>53</v>
      </c>
      <c r="B37" s="65">
        <f>Parameters!AA11</f>
        <v>0</v>
      </c>
      <c r="C37" s="62">
        <v>5</v>
      </c>
      <c r="D37" s="62">
        <f t="shared" ref="D37:D49" si="0">B37*C37</f>
        <v>0</v>
      </c>
    </row>
    <row r="38" spans="1:12" x14ac:dyDescent="0.2">
      <c r="A38" s="67" t="s">
        <v>54</v>
      </c>
      <c r="B38" s="65">
        <f>Parameters!AA12</f>
        <v>0</v>
      </c>
      <c r="C38" s="62">
        <v>0.5</v>
      </c>
      <c r="D38" s="62">
        <f t="shared" si="0"/>
        <v>0</v>
      </c>
      <c r="I38" s="63"/>
    </row>
    <row r="39" spans="1:12" x14ac:dyDescent="0.2">
      <c r="A39" s="67" t="s">
        <v>62</v>
      </c>
      <c r="B39" s="65">
        <f>Parameters!AA13</f>
        <v>0</v>
      </c>
      <c r="C39" s="62">
        <v>4</v>
      </c>
      <c r="D39" s="62">
        <f t="shared" si="0"/>
        <v>0</v>
      </c>
      <c r="I39" s="63"/>
    </row>
    <row r="40" spans="1:12" x14ac:dyDescent="0.2">
      <c r="A40" s="61" t="s">
        <v>94</v>
      </c>
      <c r="B40" s="65">
        <f>Parameters!AA14</f>
        <v>0</v>
      </c>
      <c r="C40" s="62">
        <v>5</v>
      </c>
      <c r="D40" s="62">
        <f t="shared" si="0"/>
        <v>0</v>
      </c>
      <c r="I40" s="63"/>
    </row>
    <row r="41" spans="1:12" x14ac:dyDescent="0.2">
      <c r="A41" s="66" t="s">
        <v>95</v>
      </c>
      <c r="B41" s="65">
        <f>Parameters!AA15</f>
        <v>0</v>
      </c>
      <c r="C41" s="62">
        <v>0.5</v>
      </c>
      <c r="D41" s="62">
        <f t="shared" si="0"/>
        <v>0</v>
      </c>
      <c r="I41" s="63"/>
    </row>
    <row r="42" spans="1:12" x14ac:dyDescent="0.2">
      <c r="A42" s="61" t="s">
        <v>63</v>
      </c>
      <c r="B42" s="65">
        <f>Parameters!AA16</f>
        <v>0</v>
      </c>
      <c r="C42" s="62">
        <v>0.5</v>
      </c>
      <c r="D42" s="62">
        <f t="shared" si="0"/>
        <v>0</v>
      </c>
      <c r="L42" s="63"/>
    </row>
    <row r="43" spans="1:12" x14ac:dyDescent="0.2">
      <c r="A43" s="61" t="s">
        <v>64</v>
      </c>
      <c r="B43" s="65">
        <f>Parameters!AA17</f>
        <v>0</v>
      </c>
      <c r="C43" s="62">
        <v>1</v>
      </c>
      <c r="D43" s="62">
        <f t="shared" si="0"/>
        <v>0</v>
      </c>
      <c r="L43" s="63"/>
    </row>
    <row r="44" spans="1:12" x14ac:dyDescent="0.2">
      <c r="A44" s="61" t="s">
        <v>51</v>
      </c>
      <c r="B44" s="65">
        <f>Parameters!AA18</f>
        <v>0</v>
      </c>
      <c r="C44" s="62">
        <f>IF(H17&gt;2300,0.35,3.5)</f>
        <v>3.5</v>
      </c>
      <c r="D44" s="62">
        <f t="shared" si="0"/>
        <v>0</v>
      </c>
      <c r="F44" s="61" t="s">
        <v>89</v>
      </c>
      <c r="L44" s="63"/>
    </row>
    <row r="45" spans="1:12" x14ac:dyDescent="0.2">
      <c r="A45" s="61" t="s">
        <v>59</v>
      </c>
      <c r="B45" s="65">
        <f>Parameters!AA19</f>
        <v>0</v>
      </c>
      <c r="C45" s="62">
        <v>1</v>
      </c>
      <c r="D45" s="62">
        <f t="shared" si="0"/>
        <v>0</v>
      </c>
      <c r="I45" s="63"/>
    </row>
    <row r="46" spans="1:12" x14ac:dyDescent="0.2">
      <c r="A46" s="61" t="s">
        <v>60</v>
      </c>
      <c r="B46" s="65">
        <f>Parameters!AA20</f>
        <v>0</v>
      </c>
      <c r="C46" s="62">
        <v>0.1</v>
      </c>
      <c r="D46" s="62">
        <f t="shared" si="0"/>
        <v>0</v>
      </c>
      <c r="I46" s="63"/>
    </row>
    <row r="47" spans="1:12" x14ac:dyDescent="0.2">
      <c r="A47" s="61" t="s">
        <v>56</v>
      </c>
      <c r="B47" s="65">
        <f>Parameters!AA21</f>
        <v>0</v>
      </c>
      <c r="C47" s="62">
        <v>1</v>
      </c>
      <c r="D47" s="62">
        <f t="shared" si="0"/>
        <v>0</v>
      </c>
      <c r="I47" s="63"/>
    </row>
    <row r="48" spans="1:12" x14ac:dyDescent="0.2">
      <c r="A48" s="61" t="s">
        <v>57</v>
      </c>
      <c r="B48" s="65">
        <f>Parameters!AA22</f>
        <v>0</v>
      </c>
      <c r="C48" s="62">
        <v>6</v>
      </c>
      <c r="D48" s="62">
        <f t="shared" si="0"/>
        <v>0</v>
      </c>
      <c r="I48" s="63"/>
    </row>
    <row r="49" spans="1:9" x14ac:dyDescent="0.2">
      <c r="A49" s="61" t="s">
        <v>61</v>
      </c>
      <c r="B49" s="65">
        <f>Parameters!AA23</f>
        <v>0</v>
      </c>
      <c r="C49" s="62">
        <v>0.2</v>
      </c>
      <c r="D49" s="62">
        <f t="shared" si="0"/>
        <v>0</v>
      </c>
      <c r="I49" s="63"/>
    </row>
    <row r="50" spans="1:9" x14ac:dyDescent="0.2">
      <c r="B50" s="64"/>
      <c r="C50" s="62"/>
      <c r="D50" s="62"/>
      <c r="I50" s="63"/>
    </row>
    <row r="51" spans="1:9" x14ac:dyDescent="0.2">
      <c r="A51" s="61" t="s">
        <v>46</v>
      </c>
      <c r="B51" s="62"/>
      <c r="C51" s="62"/>
      <c r="D51" s="62">
        <f>SUM(D37:D50)</f>
        <v>0</v>
      </c>
    </row>
  </sheetData>
  <conditionalFormatting sqref="D28">
    <cfRule type="cellIs" dxfId="15" priority="1" stopIfTrue="1" operator="lessThan">
      <formula>65</formula>
    </cfRule>
  </conditionalFormatting>
  <conditionalFormatting sqref="E7 E12 E10 K11 B37:B49">
    <cfRule type="cellIs" dxfId="14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4">
    <pageSetUpPr fitToPage="1"/>
  </sheetPr>
  <dimension ref="A2:Q51"/>
  <sheetViews>
    <sheetView workbookViewId="0">
      <selection activeCell="E9" sqref="E9"/>
    </sheetView>
  </sheetViews>
  <sheetFormatPr defaultRowHeight="12.75" x14ac:dyDescent="0.2"/>
  <cols>
    <col min="1" max="1" width="12.140625" style="61" customWidth="1"/>
    <col min="2" max="3" width="9.140625" style="61"/>
    <col min="4" max="4" width="12.42578125" style="61" bestFit="1" customWidth="1"/>
    <col min="5" max="5" width="12" style="61" bestFit="1" customWidth="1"/>
    <col min="6" max="6" width="10.7109375" style="61" customWidth="1"/>
    <col min="7" max="7" width="12.42578125" style="61" bestFit="1" customWidth="1"/>
    <col min="8" max="9" width="9.42578125" style="61" customWidth="1"/>
    <col min="10" max="10" width="14.140625" style="61" bestFit="1" customWidth="1"/>
    <col min="11" max="11" width="5" style="61" bestFit="1" customWidth="1"/>
    <col min="12" max="12" width="14.85546875" style="61" bestFit="1" customWidth="1"/>
    <col min="13" max="13" width="3.7109375" style="61" bestFit="1" customWidth="1"/>
    <col min="14" max="14" width="8.85546875" style="61" bestFit="1" customWidth="1"/>
    <col min="15" max="15" width="3.7109375" style="61" bestFit="1" customWidth="1"/>
    <col min="16" max="16" width="7.42578125" style="61" bestFit="1" customWidth="1"/>
    <col min="17" max="17" width="3.7109375" style="61" bestFit="1" customWidth="1"/>
    <col min="18" max="18" width="6.85546875" style="61" bestFit="1" customWidth="1"/>
    <col min="19" max="16384" width="9.140625" style="61"/>
  </cols>
  <sheetData>
    <row r="2" spans="1:17" ht="15.75" x14ac:dyDescent="0.25">
      <c r="A2" s="80" t="s">
        <v>0</v>
      </c>
    </row>
    <row r="6" spans="1:17" x14ac:dyDescent="0.2">
      <c r="A6" s="79" t="s">
        <v>85</v>
      </c>
    </row>
    <row r="7" spans="1:17" x14ac:dyDescent="0.2">
      <c r="A7" s="68" t="s">
        <v>4</v>
      </c>
      <c r="E7" s="65">
        <f>Parameters!AB7</f>
        <v>0</v>
      </c>
      <c r="F7" s="69" t="s">
        <v>86</v>
      </c>
    </row>
    <row r="8" spans="1:17" x14ac:dyDescent="0.2">
      <c r="A8" s="68" t="s">
        <v>5</v>
      </c>
      <c r="E8" s="69">
        <f>total!F18</f>
        <v>1025</v>
      </c>
      <c r="F8" s="69" t="s">
        <v>11</v>
      </c>
      <c r="Q8" s="78"/>
    </row>
    <row r="9" spans="1:17" x14ac:dyDescent="0.2">
      <c r="A9" s="68" t="s">
        <v>9</v>
      </c>
      <c r="E9" s="69">
        <f>total!F17</f>
        <v>1</v>
      </c>
      <c r="F9" s="69" t="s">
        <v>73</v>
      </c>
    </row>
    <row r="10" spans="1:17" x14ac:dyDescent="0.2">
      <c r="A10" s="68" t="s">
        <v>6</v>
      </c>
      <c r="E10" s="65">
        <f>Parameters!AB8</f>
        <v>0</v>
      </c>
      <c r="F10" s="69" t="s">
        <v>12</v>
      </c>
    </row>
    <row r="11" spans="1:17" x14ac:dyDescent="0.2">
      <c r="A11" s="68" t="s">
        <v>7</v>
      </c>
      <c r="E11" s="69">
        <f>VLOOKUP(H11,'pipe dimensions'!A1:D21,K11+1)</f>
        <v>100</v>
      </c>
      <c r="F11" s="69" t="s">
        <v>13</v>
      </c>
      <c r="G11" s="78" t="s">
        <v>68</v>
      </c>
      <c r="H11" s="78">
        <v>100</v>
      </c>
      <c r="J11" s="61" t="s">
        <v>72</v>
      </c>
      <c r="K11" s="65">
        <f>Parameters!AB10</f>
        <v>0</v>
      </c>
      <c r="L11" s="61" t="s">
        <v>74</v>
      </c>
    </row>
    <row r="12" spans="1:17" x14ac:dyDescent="0.2">
      <c r="A12" s="68" t="s">
        <v>14</v>
      </c>
      <c r="E12" s="65">
        <f>Parameters!AB9</f>
        <v>0</v>
      </c>
      <c r="F12" s="69"/>
      <c r="G12" s="78" t="s">
        <v>24</v>
      </c>
      <c r="H12" s="78">
        <v>0.15</v>
      </c>
      <c r="I12" s="61" t="s">
        <v>13</v>
      </c>
      <c r="J12" s="78" t="s">
        <v>25</v>
      </c>
      <c r="K12" s="78">
        <v>0.02</v>
      </c>
      <c r="L12" s="61" t="s">
        <v>13</v>
      </c>
    </row>
    <row r="13" spans="1:17" x14ac:dyDescent="0.2">
      <c r="A13" s="68" t="s">
        <v>8</v>
      </c>
      <c r="E13" s="69">
        <f>IF(E10&gt;0,D51,0)</f>
        <v>0</v>
      </c>
      <c r="F13" s="69"/>
    </row>
    <row r="15" spans="1:17" x14ac:dyDescent="0.2">
      <c r="A15" s="68" t="s">
        <v>1</v>
      </c>
      <c r="H15" s="69"/>
    </row>
    <row r="16" spans="1:17" x14ac:dyDescent="0.2">
      <c r="A16" s="67" t="s">
        <v>3</v>
      </c>
      <c r="D16" s="68" t="s">
        <v>75</v>
      </c>
      <c r="H16" s="74">
        <f>E7/3600/(0.785*(0.001*E11)*(0.001*E11))</f>
        <v>0</v>
      </c>
      <c r="I16" s="69" t="s">
        <v>2</v>
      </c>
    </row>
    <row r="17" spans="1:12" x14ac:dyDescent="0.2">
      <c r="A17" s="67" t="s">
        <v>10</v>
      </c>
      <c r="D17" s="68" t="s">
        <v>76</v>
      </c>
      <c r="H17" s="74">
        <f>H16*0.001*E11/E9*1000000</f>
        <v>0</v>
      </c>
      <c r="I17" s="77">
        <f>H17</f>
        <v>0</v>
      </c>
    </row>
    <row r="18" spans="1:12" x14ac:dyDescent="0.2">
      <c r="A18" s="67" t="s">
        <v>32</v>
      </c>
      <c r="D18" s="68"/>
      <c r="H18" s="76">
        <f>H12/E11</f>
        <v>1.5E-3</v>
      </c>
      <c r="I18" s="69"/>
    </row>
    <row r="19" spans="1:12" x14ac:dyDescent="0.2">
      <c r="A19" s="67" t="s">
        <v>26</v>
      </c>
      <c r="D19" s="68"/>
      <c r="H19" s="74">
        <f>H17*H12/E11</f>
        <v>0</v>
      </c>
      <c r="I19" s="69"/>
    </row>
    <row r="20" spans="1:12" x14ac:dyDescent="0.2">
      <c r="A20" s="67"/>
      <c r="D20" s="68"/>
      <c r="H20" s="74"/>
      <c r="I20" s="69"/>
    </row>
    <row r="21" spans="1:12" x14ac:dyDescent="0.2">
      <c r="A21" s="67" t="s">
        <v>78</v>
      </c>
      <c r="D21" s="61" t="s">
        <v>77</v>
      </c>
      <c r="H21" s="76">
        <f>IF((E7&gt;0),64/H17,0)</f>
        <v>0</v>
      </c>
      <c r="I21" s="69"/>
    </row>
    <row r="22" spans="1:12" x14ac:dyDescent="0.2">
      <c r="A22" s="67" t="s">
        <v>80</v>
      </c>
      <c r="D22" s="61" t="s">
        <v>79</v>
      </c>
      <c r="H22" s="76">
        <f>IF((E7&gt;0),(0.0055*(1+(20000*IF(E12&gt;1,K12/1000,H12/1000)/(0.001*E11)+1000000/H17)^0.333333)),0)</f>
        <v>0</v>
      </c>
      <c r="I22" s="69"/>
    </row>
    <row r="23" spans="1:12" x14ac:dyDescent="0.2">
      <c r="A23" s="61" t="s">
        <v>82</v>
      </c>
      <c r="D23" s="61" t="s">
        <v>81</v>
      </c>
      <c r="H23" s="75">
        <f>((IF(H17&gt;2320,H22,H21))*E10/(0.001*E11)+E13)*E8*H16*H16/(2*100000)</f>
        <v>0</v>
      </c>
      <c r="I23" s="69" t="s">
        <v>52</v>
      </c>
      <c r="J23" s="61" t="s">
        <v>19</v>
      </c>
    </row>
    <row r="24" spans="1:12" x14ac:dyDescent="0.2">
      <c r="H24" s="74">
        <f>+H23*100/(9.81)</f>
        <v>0</v>
      </c>
      <c r="I24" s="69" t="s">
        <v>15</v>
      </c>
      <c r="J24" s="61" t="s">
        <v>20</v>
      </c>
    </row>
    <row r="25" spans="1:12" x14ac:dyDescent="0.2">
      <c r="H25" s="69" t="s">
        <v>16</v>
      </c>
      <c r="I25" s="69"/>
    </row>
    <row r="26" spans="1:12" s="73" customFormat="1" hidden="1" x14ac:dyDescent="0.2"/>
    <row r="27" spans="1:12" hidden="1" x14ac:dyDescent="0.2"/>
    <row r="28" spans="1:12" hidden="1" x14ac:dyDescent="0.2">
      <c r="A28" s="61" t="s">
        <v>41</v>
      </c>
      <c r="D28" s="61" t="s">
        <v>18</v>
      </c>
      <c r="H28" s="61" t="s">
        <v>21</v>
      </c>
      <c r="L28" s="61" t="s">
        <v>23</v>
      </c>
    </row>
    <row r="29" spans="1:12" hidden="1" x14ac:dyDescent="0.2">
      <c r="D29" s="72" t="s">
        <v>22</v>
      </c>
      <c r="F29" s="61" t="s">
        <v>42</v>
      </c>
      <c r="H29" s="71" t="s">
        <v>35</v>
      </c>
      <c r="L29" s="70" t="s">
        <v>36</v>
      </c>
    </row>
    <row r="30" spans="1:12" hidden="1" x14ac:dyDescent="0.2">
      <c r="B30" s="61" t="s">
        <v>28</v>
      </c>
    </row>
    <row r="31" spans="1:12" hidden="1" x14ac:dyDescent="0.2">
      <c r="C31" s="61" t="s">
        <v>27</v>
      </c>
      <c r="D31" s="69" t="e">
        <f>0.3164*H17^-0.25</f>
        <v>#DIV/0!</v>
      </c>
      <c r="E31" s="61" t="s">
        <v>39</v>
      </c>
      <c r="F31" s="61" t="s">
        <v>43</v>
      </c>
      <c r="G31" s="61" t="s">
        <v>30</v>
      </c>
      <c r="H31" s="61">
        <f>(1/(2*LOG10((E11/H12))+1.14))^2</f>
        <v>2.1703995361900343E-2</v>
      </c>
      <c r="I31" s="61" t="s">
        <v>37</v>
      </c>
      <c r="K31" s="61" t="s">
        <v>34</v>
      </c>
      <c r="L31" s="61" t="e">
        <f>1/(-2*LOG10(H12/(3.72*E11)+2.51/H17*((H17*E11/H12)^0.0625)*(1/0.48)))^2</f>
        <v>#DIV/0!</v>
      </c>
    </row>
    <row r="32" spans="1:12" hidden="1" x14ac:dyDescent="0.2">
      <c r="C32" s="61" t="s">
        <v>29</v>
      </c>
      <c r="D32" s="61" t="e">
        <f>0.0032+0.221*H17^-0.237</f>
        <v>#DIV/0!</v>
      </c>
      <c r="E32" s="61" t="s">
        <v>37</v>
      </c>
      <c r="F32" s="61" t="s">
        <v>44</v>
      </c>
      <c r="G32" s="61" t="s">
        <v>31</v>
      </c>
      <c r="H32" s="61">
        <f>0.0055+0.15*(H12/E11)^(1/3)</f>
        <v>2.2670713638299977E-2</v>
      </c>
      <c r="I32" s="61" t="s">
        <v>38</v>
      </c>
    </row>
    <row r="33" spans="1:12" hidden="1" x14ac:dyDescent="0.2">
      <c r="C33" s="61" t="s">
        <v>33</v>
      </c>
      <c r="D33" s="61" t="e">
        <f>0.0054+0.3964/H17^0.3</f>
        <v>#DIV/0!</v>
      </c>
      <c r="E33" s="61" t="s">
        <v>40</v>
      </c>
      <c r="F33" s="61" t="s">
        <v>45</v>
      </c>
    </row>
    <row r="34" spans="1:12" hidden="1" x14ac:dyDescent="0.2"/>
    <row r="36" spans="1:12" x14ac:dyDescent="0.2">
      <c r="A36" s="68" t="s">
        <v>47</v>
      </c>
      <c r="B36" s="61" t="s">
        <v>49</v>
      </c>
      <c r="C36" s="61" t="s">
        <v>48</v>
      </c>
      <c r="D36" s="61" t="s">
        <v>50</v>
      </c>
      <c r="F36" s="61" t="s">
        <v>58</v>
      </c>
    </row>
    <row r="37" spans="1:12" x14ac:dyDescent="0.2">
      <c r="A37" s="67" t="s">
        <v>53</v>
      </c>
      <c r="B37" s="65">
        <f>Parameters!AB11</f>
        <v>0</v>
      </c>
      <c r="C37" s="62">
        <v>5</v>
      </c>
      <c r="D37" s="62">
        <f t="shared" ref="D37:D49" si="0">B37*C37</f>
        <v>0</v>
      </c>
    </row>
    <row r="38" spans="1:12" x14ac:dyDescent="0.2">
      <c r="A38" s="67" t="s">
        <v>54</v>
      </c>
      <c r="B38" s="65">
        <f>Parameters!AB12</f>
        <v>0</v>
      </c>
      <c r="C38" s="62">
        <v>0.5</v>
      </c>
      <c r="D38" s="62">
        <f t="shared" si="0"/>
        <v>0</v>
      </c>
      <c r="I38" s="63"/>
    </row>
    <row r="39" spans="1:12" x14ac:dyDescent="0.2">
      <c r="A39" s="67" t="s">
        <v>62</v>
      </c>
      <c r="B39" s="65">
        <f>Parameters!AB13</f>
        <v>0</v>
      </c>
      <c r="C39" s="62">
        <v>4</v>
      </c>
      <c r="D39" s="62">
        <f t="shared" si="0"/>
        <v>0</v>
      </c>
      <c r="I39" s="63"/>
    </row>
    <row r="40" spans="1:12" x14ac:dyDescent="0.2">
      <c r="A40" s="61" t="s">
        <v>94</v>
      </c>
      <c r="B40" s="65">
        <f>Parameters!AB14</f>
        <v>0</v>
      </c>
      <c r="C40" s="62">
        <v>5</v>
      </c>
      <c r="D40" s="62">
        <f t="shared" si="0"/>
        <v>0</v>
      </c>
      <c r="I40" s="63"/>
    </row>
    <row r="41" spans="1:12" x14ac:dyDescent="0.2">
      <c r="A41" s="66" t="s">
        <v>95</v>
      </c>
      <c r="B41" s="65">
        <f>Parameters!AB15</f>
        <v>0</v>
      </c>
      <c r="C41" s="62">
        <v>0.5</v>
      </c>
      <c r="D41" s="62">
        <f t="shared" si="0"/>
        <v>0</v>
      </c>
      <c r="I41" s="63"/>
    </row>
    <row r="42" spans="1:12" x14ac:dyDescent="0.2">
      <c r="A42" s="61" t="s">
        <v>63</v>
      </c>
      <c r="B42" s="65">
        <f>Parameters!AB16</f>
        <v>0</v>
      </c>
      <c r="C42" s="62">
        <v>0.5</v>
      </c>
      <c r="D42" s="62">
        <f t="shared" si="0"/>
        <v>0</v>
      </c>
      <c r="L42" s="63"/>
    </row>
    <row r="43" spans="1:12" x14ac:dyDescent="0.2">
      <c r="A43" s="61" t="s">
        <v>64</v>
      </c>
      <c r="B43" s="65">
        <f>Parameters!AB17</f>
        <v>0</v>
      </c>
      <c r="C43" s="62">
        <v>1</v>
      </c>
      <c r="D43" s="62">
        <f t="shared" si="0"/>
        <v>0</v>
      </c>
      <c r="L43" s="63"/>
    </row>
    <row r="44" spans="1:12" x14ac:dyDescent="0.2">
      <c r="A44" s="61" t="s">
        <v>51</v>
      </c>
      <c r="B44" s="65">
        <f>Parameters!AB18</f>
        <v>0</v>
      </c>
      <c r="C44" s="62">
        <f>IF(H17&gt;2300,0.35,3.5)</f>
        <v>3.5</v>
      </c>
      <c r="D44" s="62">
        <f t="shared" si="0"/>
        <v>0</v>
      </c>
      <c r="F44" s="61" t="s">
        <v>89</v>
      </c>
      <c r="L44" s="63"/>
    </row>
    <row r="45" spans="1:12" x14ac:dyDescent="0.2">
      <c r="A45" s="61" t="s">
        <v>59</v>
      </c>
      <c r="B45" s="65">
        <f>Parameters!AB19</f>
        <v>0</v>
      </c>
      <c r="C45" s="62">
        <v>1</v>
      </c>
      <c r="D45" s="62">
        <f t="shared" si="0"/>
        <v>0</v>
      </c>
      <c r="I45" s="63"/>
    </row>
    <row r="46" spans="1:12" x14ac:dyDescent="0.2">
      <c r="A46" s="61" t="s">
        <v>60</v>
      </c>
      <c r="B46" s="65">
        <f>Parameters!AB20</f>
        <v>0</v>
      </c>
      <c r="C46" s="62">
        <v>0.1</v>
      </c>
      <c r="D46" s="62">
        <f t="shared" si="0"/>
        <v>0</v>
      </c>
      <c r="I46" s="63"/>
    </row>
    <row r="47" spans="1:12" x14ac:dyDescent="0.2">
      <c r="A47" s="61" t="s">
        <v>56</v>
      </c>
      <c r="B47" s="65">
        <f>Parameters!AB21</f>
        <v>0</v>
      </c>
      <c r="C47" s="62">
        <v>1</v>
      </c>
      <c r="D47" s="62">
        <f t="shared" si="0"/>
        <v>0</v>
      </c>
      <c r="I47" s="63"/>
    </row>
    <row r="48" spans="1:12" x14ac:dyDescent="0.2">
      <c r="A48" s="61" t="s">
        <v>57</v>
      </c>
      <c r="B48" s="65">
        <f>Parameters!AB22</f>
        <v>0</v>
      </c>
      <c r="C48" s="62">
        <v>6</v>
      </c>
      <c r="D48" s="62">
        <f t="shared" si="0"/>
        <v>0</v>
      </c>
      <c r="I48" s="63"/>
    </row>
    <row r="49" spans="1:9" x14ac:dyDescent="0.2">
      <c r="A49" s="61" t="s">
        <v>61</v>
      </c>
      <c r="B49" s="65">
        <f>Parameters!AB23</f>
        <v>0</v>
      </c>
      <c r="C49" s="62">
        <v>0.2</v>
      </c>
      <c r="D49" s="62">
        <f t="shared" si="0"/>
        <v>0</v>
      </c>
      <c r="I49" s="63"/>
    </row>
    <row r="50" spans="1:9" x14ac:dyDescent="0.2">
      <c r="B50" s="64"/>
      <c r="C50" s="62"/>
      <c r="D50" s="62"/>
      <c r="I50" s="63"/>
    </row>
    <row r="51" spans="1:9" x14ac:dyDescent="0.2">
      <c r="A51" s="61" t="s">
        <v>46</v>
      </c>
      <c r="B51" s="62"/>
      <c r="C51" s="62"/>
      <c r="D51" s="62">
        <f>SUM(D37:D50)</f>
        <v>0</v>
      </c>
    </row>
  </sheetData>
  <conditionalFormatting sqref="D28">
    <cfRule type="cellIs" dxfId="13" priority="1" stopIfTrue="1" operator="lessThan">
      <formula>65</formula>
    </cfRule>
  </conditionalFormatting>
  <conditionalFormatting sqref="E7 E12 E10 K11 B37:B49">
    <cfRule type="cellIs" dxfId="12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26"/>
  <sheetViews>
    <sheetView workbookViewId="0">
      <selection activeCell="A25" sqref="A25"/>
    </sheetView>
  </sheetViews>
  <sheetFormatPr defaultRowHeight="12.75" x14ac:dyDescent="0.2"/>
  <cols>
    <col min="1" max="1" width="55" bestFit="1" customWidth="1"/>
    <col min="2" max="2" width="10" customWidth="1"/>
  </cols>
  <sheetData>
    <row r="5" spans="1:34" x14ac:dyDescent="0.2">
      <c r="B5" s="60" t="s">
        <v>108</v>
      </c>
      <c r="S5" s="60" t="s">
        <v>109</v>
      </c>
    </row>
    <row r="6" spans="1:34" x14ac:dyDescent="0.2">
      <c r="A6" s="56" t="s">
        <v>68</v>
      </c>
      <c r="B6" s="56">
        <v>500</v>
      </c>
      <c r="C6" s="56">
        <v>450</v>
      </c>
      <c r="D6" s="56">
        <v>400</v>
      </c>
      <c r="E6" s="56">
        <v>350</v>
      </c>
      <c r="F6" s="56">
        <v>300</v>
      </c>
      <c r="G6" s="56">
        <v>250</v>
      </c>
      <c r="H6" s="56">
        <v>200</v>
      </c>
      <c r="I6" s="56">
        <v>150</v>
      </c>
      <c r="J6" s="56">
        <v>125</v>
      </c>
      <c r="K6" s="56">
        <v>100</v>
      </c>
      <c r="L6" s="56">
        <v>80</v>
      </c>
      <c r="M6" s="56">
        <v>65</v>
      </c>
      <c r="N6" s="56">
        <v>50</v>
      </c>
      <c r="O6" s="56">
        <v>40</v>
      </c>
      <c r="P6" s="56">
        <v>32</v>
      </c>
      <c r="Q6" s="56">
        <v>25</v>
      </c>
      <c r="S6" s="56">
        <v>500</v>
      </c>
      <c r="T6" s="56">
        <v>450</v>
      </c>
      <c r="U6" s="56">
        <v>400</v>
      </c>
      <c r="V6" s="56">
        <v>350</v>
      </c>
      <c r="W6" s="56">
        <v>300</v>
      </c>
      <c r="X6" s="56">
        <v>250</v>
      </c>
      <c r="Y6" s="56">
        <v>200</v>
      </c>
      <c r="Z6" s="56">
        <v>150</v>
      </c>
      <c r="AA6" s="56">
        <v>125</v>
      </c>
      <c r="AB6" s="56">
        <v>100</v>
      </c>
      <c r="AC6" s="56">
        <v>80</v>
      </c>
      <c r="AD6" s="56">
        <v>65</v>
      </c>
      <c r="AE6" s="56">
        <v>50</v>
      </c>
      <c r="AF6" s="56">
        <v>40</v>
      </c>
      <c r="AG6" s="56">
        <v>32</v>
      </c>
      <c r="AH6" s="56">
        <v>25</v>
      </c>
    </row>
    <row r="7" spans="1:34" x14ac:dyDescent="0.2">
      <c r="A7" s="53" t="s">
        <v>4</v>
      </c>
      <c r="B7" s="59">
        <v>0</v>
      </c>
      <c r="C7" s="51">
        <v>0</v>
      </c>
      <c r="D7" s="51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  <c r="P7" s="52">
        <v>0</v>
      </c>
      <c r="Q7" s="52">
        <v>0</v>
      </c>
      <c r="S7" s="54">
        <v>0</v>
      </c>
      <c r="T7" s="51">
        <v>0</v>
      </c>
      <c r="U7" s="51">
        <v>0</v>
      </c>
      <c r="V7" s="52">
        <v>0</v>
      </c>
      <c r="W7" s="52">
        <v>0</v>
      </c>
      <c r="X7" s="52">
        <v>0</v>
      </c>
      <c r="Y7" s="52">
        <v>0</v>
      </c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2">
        <v>0</v>
      </c>
      <c r="AF7" s="52">
        <v>0</v>
      </c>
      <c r="AG7" s="52">
        <v>0</v>
      </c>
      <c r="AH7" s="52">
        <v>0</v>
      </c>
    </row>
    <row r="8" spans="1:34" x14ac:dyDescent="0.2">
      <c r="A8" s="53" t="s">
        <v>6</v>
      </c>
      <c r="B8" s="57">
        <v>0</v>
      </c>
      <c r="C8" s="50">
        <v>0</v>
      </c>
      <c r="D8" s="50">
        <v>0</v>
      </c>
      <c r="E8" s="49">
        <v>0</v>
      </c>
      <c r="F8" s="49">
        <v>0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S8" s="54">
        <v>0</v>
      </c>
      <c r="T8" s="50">
        <v>0</v>
      </c>
      <c r="U8" s="50">
        <v>0</v>
      </c>
      <c r="V8" s="49">
        <v>0</v>
      </c>
      <c r="W8" s="49">
        <v>0</v>
      </c>
      <c r="X8" s="49">
        <v>0</v>
      </c>
      <c r="Y8" s="49">
        <v>0</v>
      </c>
      <c r="Z8" s="49">
        <v>0</v>
      </c>
      <c r="AA8" s="49">
        <v>0</v>
      </c>
      <c r="AB8" s="49">
        <v>0</v>
      </c>
      <c r="AC8" s="49">
        <v>0</v>
      </c>
      <c r="AD8" s="49">
        <v>0</v>
      </c>
      <c r="AE8" s="49">
        <v>0</v>
      </c>
      <c r="AF8" s="49">
        <v>0</v>
      </c>
      <c r="AG8" s="49">
        <v>0</v>
      </c>
      <c r="AH8" s="49">
        <v>0</v>
      </c>
    </row>
    <row r="9" spans="1:34" x14ac:dyDescent="0.2">
      <c r="A9" s="53" t="s">
        <v>14</v>
      </c>
      <c r="B9" s="57">
        <v>0</v>
      </c>
      <c r="C9" s="50">
        <v>0</v>
      </c>
      <c r="D9" s="50">
        <v>0</v>
      </c>
      <c r="E9" s="49">
        <v>0</v>
      </c>
      <c r="F9" s="49">
        <v>0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  <c r="P9" s="49">
        <v>0</v>
      </c>
      <c r="Q9" s="49">
        <v>0</v>
      </c>
      <c r="S9" s="54">
        <v>0</v>
      </c>
      <c r="T9" s="50">
        <v>0</v>
      </c>
      <c r="U9" s="50">
        <v>0</v>
      </c>
      <c r="V9" s="49">
        <v>0</v>
      </c>
      <c r="W9" s="49">
        <v>0</v>
      </c>
      <c r="X9" s="49">
        <v>0</v>
      </c>
      <c r="Y9" s="49">
        <v>0</v>
      </c>
      <c r="Z9" s="49">
        <v>0</v>
      </c>
      <c r="AA9" s="49">
        <v>0</v>
      </c>
      <c r="AB9" s="49">
        <v>0</v>
      </c>
      <c r="AC9" s="49">
        <v>0</v>
      </c>
      <c r="AD9" s="49">
        <v>0</v>
      </c>
      <c r="AE9" s="49">
        <v>0</v>
      </c>
      <c r="AF9" s="49">
        <v>0</v>
      </c>
      <c r="AG9" s="49">
        <v>0</v>
      </c>
      <c r="AH9" s="49">
        <v>0</v>
      </c>
    </row>
    <row r="10" spans="1:34" x14ac:dyDescent="0.2">
      <c r="A10" s="49" t="s">
        <v>100</v>
      </c>
      <c r="B10" s="57">
        <v>0</v>
      </c>
      <c r="C10" s="50">
        <v>0</v>
      </c>
      <c r="D10" s="50">
        <v>0</v>
      </c>
      <c r="E10" s="49">
        <v>0</v>
      </c>
      <c r="F10" s="49">
        <v>0</v>
      </c>
      <c r="G10" s="49"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S10" s="54">
        <v>0</v>
      </c>
      <c r="T10" s="50">
        <v>0</v>
      </c>
      <c r="U10" s="50">
        <v>0</v>
      </c>
      <c r="V10" s="49">
        <v>0</v>
      </c>
      <c r="W10" s="49">
        <v>0</v>
      </c>
      <c r="X10" s="49">
        <v>0</v>
      </c>
      <c r="Y10" s="49">
        <v>0</v>
      </c>
      <c r="Z10" s="49">
        <v>0</v>
      </c>
      <c r="AA10" s="49">
        <v>0</v>
      </c>
      <c r="AB10" s="49">
        <v>0</v>
      </c>
      <c r="AC10" s="49">
        <v>0</v>
      </c>
      <c r="AD10" s="49">
        <v>0</v>
      </c>
      <c r="AE10" s="49">
        <v>0</v>
      </c>
      <c r="AF10" s="49">
        <v>0</v>
      </c>
      <c r="AG10" s="49">
        <v>0</v>
      </c>
      <c r="AH10" s="49">
        <v>0</v>
      </c>
    </row>
    <row r="11" spans="1:34" x14ac:dyDescent="0.2">
      <c r="A11" s="54" t="s">
        <v>53</v>
      </c>
      <c r="B11" s="57"/>
      <c r="C11" s="50"/>
      <c r="D11" s="50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S11" s="54"/>
      <c r="T11" s="50"/>
      <c r="U11" s="50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</row>
    <row r="12" spans="1:34" x14ac:dyDescent="0.2">
      <c r="A12" s="54" t="s">
        <v>54</v>
      </c>
      <c r="B12" s="57"/>
      <c r="C12" s="50"/>
      <c r="D12" s="50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S12" s="54"/>
      <c r="T12" s="50"/>
      <c r="U12" s="50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</row>
    <row r="13" spans="1:34" x14ac:dyDescent="0.2">
      <c r="A13" s="54" t="s">
        <v>62</v>
      </c>
      <c r="B13" s="57"/>
      <c r="C13" s="50"/>
      <c r="D13" s="50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S13" s="54"/>
      <c r="T13" s="50"/>
      <c r="U13" s="50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</row>
    <row r="14" spans="1:34" x14ac:dyDescent="0.2">
      <c r="A14" s="49" t="s">
        <v>94</v>
      </c>
      <c r="B14" s="50"/>
      <c r="C14" s="50"/>
      <c r="D14" s="50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S14" s="49"/>
      <c r="T14" s="50"/>
      <c r="U14" s="50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</row>
    <row r="15" spans="1:34" x14ac:dyDescent="0.2">
      <c r="A15" s="55" t="s">
        <v>95</v>
      </c>
      <c r="B15" s="58"/>
      <c r="C15" s="50"/>
      <c r="D15" s="50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S15" s="55"/>
      <c r="T15" s="50"/>
      <c r="U15" s="50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</row>
    <row r="16" spans="1:34" x14ac:dyDescent="0.2">
      <c r="A16" s="49" t="s">
        <v>121</v>
      </c>
      <c r="B16" s="50"/>
      <c r="C16" s="50"/>
      <c r="D16" s="50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S16" s="49"/>
      <c r="T16" s="50"/>
      <c r="U16" s="50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</row>
    <row r="17" spans="1:34" x14ac:dyDescent="0.2">
      <c r="A17" s="49" t="s">
        <v>122</v>
      </c>
      <c r="B17" s="50"/>
      <c r="C17" s="50"/>
      <c r="D17" s="50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S17" s="49"/>
      <c r="T17" s="50"/>
      <c r="U17" s="50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</row>
    <row r="18" spans="1:34" x14ac:dyDescent="0.2">
      <c r="A18" s="49" t="s">
        <v>51</v>
      </c>
      <c r="B18" s="50"/>
      <c r="C18" s="50"/>
      <c r="D18" s="50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S18" s="49"/>
      <c r="T18" s="50"/>
      <c r="U18" s="50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 spans="1:34" x14ac:dyDescent="0.2">
      <c r="A19" s="49" t="s">
        <v>59</v>
      </c>
      <c r="B19" s="50"/>
      <c r="C19" s="50"/>
      <c r="D19" s="50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S19" s="49"/>
      <c r="T19" s="50"/>
      <c r="U19" s="50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</row>
    <row r="20" spans="1:34" x14ac:dyDescent="0.2">
      <c r="A20" s="49" t="s">
        <v>60</v>
      </c>
      <c r="B20" s="50"/>
      <c r="C20" s="50"/>
      <c r="D20" s="50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S20" s="49"/>
      <c r="T20" s="50"/>
      <c r="U20" s="50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</row>
    <row r="21" spans="1:34" x14ac:dyDescent="0.2">
      <c r="A21" s="49" t="s">
        <v>56</v>
      </c>
      <c r="B21" s="50"/>
      <c r="C21" s="50"/>
      <c r="D21" s="50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S21" s="49"/>
      <c r="T21" s="50"/>
      <c r="U21" s="50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x14ac:dyDescent="0.2">
      <c r="A22" s="49" t="s">
        <v>57</v>
      </c>
      <c r="B22" s="50"/>
      <c r="C22" s="50"/>
      <c r="D22" s="50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S22" s="49"/>
      <c r="T22" s="50"/>
      <c r="U22" s="50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</row>
    <row r="23" spans="1:34" x14ac:dyDescent="0.2">
      <c r="A23" s="49" t="s">
        <v>61</v>
      </c>
      <c r="B23" s="50"/>
      <c r="C23" s="50"/>
      <c r="D23" s="50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S23" s="49"/>
      <c r="T23" s="50"/>
      <c r="U23" s="50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</row>
    <row r="25" spans="1:34" x14ac:dyDescent="0.2">
      <c r="A25" t="s">
        <v>124</v>
      </c>
    </row>
    <row r="26" spans="1:34" x14ac:dyDescent="0.2">
      <c r="A26" t="s">
        <v>123</v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5">
    <pageSetUpPr fitToPage="1"/>
  </sheetPr>
  <dimension ref="A2:Q51"/>
  <sheetViews>
    <sheetView workbookViewId="0">
      <selection activeCell="E9" sqref="E9"/>
    </sheetView>
  </sheetViews>
  <sheetFormatPr defaultRowHeight="12.75" x14ac:dyDescent="0.2"/>
  <cols>
    <col min="1" max="1" width="12.140625" style="61" customWidth="1"/>
    <col min="2" max="3" width="9.140625" style="61"/>
    <col min="4" max="4" width="12.42578125" style="61" bestFit="1" customWidth="1"/>
    <col min="5" max="5" width="12" style="61" bestFit="1" customWidth="1"/>
    <col min="6" max="6" width="10.7109375" style="61" customWidth="1"/>
    <col min="7" max="7" width="12.42578125" style="61" bestFit="1" customWidth="1"/>
    <col min="8" max="9" width="9.42578125" style="61" customWidth="1"/>
    <col min="10" max="10" width="14.140625" style="61" bestFit="1" customWidth="1"/>
    <col min="11" max="11" width="5" style="61" bestFit="1" customWidth="1"/>
    <col min="12" max="12" width="14.85546875" style="61" bestFit="1" customWidth="1"/>
    <col min="13" max="13" width="3.7109375" style="61" bestFit="1" customWidth="1"/>
    <col min="14" max="14" width="8.85546875" style="61" bestFit="1" customWidth="1"/>
    <col min="15" max="15" width="3.7109375" style="61" bestFit="1" customWidth="1"/>
    <col min="16" max="16" width="7.42578125" style="61" bestFit="1" customWidth="1"/>
    <col min="17" max="17" width="3.7109375" style="61" bestFit="1" customWidth="1"/>
    <col min="18" max="18" width="6.85546875" style="61" bestFit="1" customWidth="1"/>
    <col min="19" max="16384" width="9.140625" style="61"/>
  </cols>
  <sheetData>
    <row r="2" spans="1:17" ht="15.75" x14ac:dyDescent="0.25">
      <c r="A2" s="80" t="s">
        <v>0</v>
      </c>
    </row>
    <row r="6" spans="1:17" x14ac:dyDescent="0.2">
      <c r="A6" s="79" t="s">
        <v>85</v>
      </c>
    </row>
    <row r="7" spans="1:17" x14ac:dyDescent="0.2">
      <c r="A7" s="68" t="s">
        <v>4</v>
      </c>
      <c r="E7" s="65">
        <f>Parameters!AC7</f>
        <v>0</v>
      </c>
      <c r="F7" s="69" t="s">
        <v>86</v>
      </c>
    </row>
    <row r="8" spans="1:17" x14ac:dyDescent="0.2">
      <c r="A8" s="68" t="s">
        <v>5</v>
      </c>
      <c r="E8" s="69">
        <f>total!F18</f>
        <v>1025</v>
      </c>
      <c r="F8" s="69" t="s">
        <v>11</v>
      </c>
      <c r="Q8" s="78"/>
    </row>
    <row r="9" spans="1:17" x14ac:dyDescent="0.2">
      <c r="A9" s="68" t="s">
        <v>9</v>
      </c>
      <c r="E9" s="69">
        <f>total!F17</f>
        <v>1</v>
      </c>
      <c r="F9" s="69" t="s">
        <v>73</v>
      </c>
    </row>
    <row r="10" spans="1:17" x14ac:dyDescent="0.2">
      <c r="A10" s="68" t="s">
        <v>6</v>
      </c>
      <c r="E10" s="65">
        <f>Parameters!AC8</f>
        <v>0</v>
      </c>
      <c r="F10" s="69" t="s">
        <v>12</v>
      </c>
    </row>
    <row r="11" spans="1:17" x14ac:dyDescent="0.2">
      <c r="A11" s="68" t="s">
        <v>7</v>
      </c>
      <c r="E11" s="69">
        <f>VLOOKUP(H11,'pipe dimensions'!A1:D21,K11+1)</f>
        <v>80</v>
      </c>
      <c r="F11" s="69" t="s">
        <v>13</v>
      </c>
      <c r="G11" s="78" t="s">
        <v>68</v>
      </c>
      <c r="H11" s="78">
        <v>80</v>
      </c>
      <c r="J11" s="61" t="s">
        <v>72</v>
      </c>
      <c r="K11" s="65">
        <f>Parameters!AC10</f>
        <v>0</v>
      </c>
      <c r="L11" s="61" t="s">
        <v>74</v>
      </c>
    </row>
    <row r="12" spans="1:17" x14ac:dyDescent="0.2">
      <c r="A12" s="68" t="s">
        <v>14</v>
      </c>
      <c r="E12" s="65">
        <f>Parameters!AC9</f>
        <v>0</v>
      </c>
      <c r="F12" s="69"/>
      <c r="G12" s="78" t="s">
        <v>24</v>
      </c>
      <c r="H12" s="78">
        <v>0.15</v>
      </c>
      <c r="I12" s="61" t="s">
        <v>13</v>
      </c>
      <c r="J12" s="78" t="s">
        <v>25</v>
      </c>
      <c r="K12" s="78">
        <v>0.02</v>
      </c>
      <c r="L12" s="61" t="s">
        <v>13</v>
      </c>
    </row>
    <row r="13" spans="1:17" x14ac:dyDescent="0.2">
      <c r="A13" s="68" t="s">
        <v>8</v>
      </c>
      <c r="E13" s="69">
        <f>IF(E10&gt;0,D51,0)</f>
        <v>0</v>
      </c>
      <c r="F13" s="69"/>
    </row>
    <row r="15" spans="1:17" x14ac:dyDescent="0.2">
      <c r="A15" s="68" t="s">
        <v>1</v>
      </c>
      <c r="H15" s="69"/>
    </row>
    <row r="16" spans="1:17" x14ac:dyDescent="0.2">
      <c r="A16" s="67" t="s">
        <v>3</v>
      </c>
      <c r="D16" s="68" t="s">
        <v>75</v>
      </c>
      <c r="H16" s="74">
        <f>E7/3600/(0.785*(0.001*E11)*(0.001*E11))</f>
        <v>0</v>
      </c>
      <c r="I16" s="69" t="s">
        <v>2</v>
      </c>
    </row>
    <row r="17" spans="1:12" x14ac:dyDescent="0.2">
      <c r="A17" s="67" t="s">
        <v>10</v>
      </c>
      <c r="D17" s="68" t="s">
        <v>76</v>
      </c>
      <c r="H17" s="74">
        <f>H16*0.001*E11/E9*1000000</f>
        <v>0</v>
      </c>
      <c r="I17" s="77">
        <f>H17</f>
        <v>0</v>
      </c>
    </row>
    <row r="18" spans="1:12" x14ac:dyDescent="0.2">
      <c r="A18" s="67" t="s">
        <v>32</v>
      </c>
      <c r="D18" s="68"/>
      <c r="H18" s="76">
        <f>H12/E11</f>
        <v>1.8749999999999999E-3</v>
      </c>
      <c r="I18" s="69"/>
    </row>
    <row r="19" spans="1:12" x14ac:dyDescent="0.2">
      <c r="A19" s="67" t="s">
        <v>26</v>
      </c>
      <c r="D19" s="68"/>
      <c r="H19" s="74">
        <f>H17*H12/E11</f>
        <v>0</v>
      </c>
      <c r="I19" s="69"/>
    </row>
    <row r="20" spans="1:12" x14ac:dyDescent="0.2">
      <c r="A20" s="67"/>
      <c r="D20" s="68"/>
      <c r="H20" s="74"/>
      <c r="I20" s="69"/>
    </row>
    <row r="21" spans="1:12" x14ac:dyDescent="0.2">
      <c r="A21" s="67" t="s">
        <v>78</v>
      </c>
      <c r="D21" s="61" t="s">
        <v>77</v>
      </c>
      <c r="H21" s="76">
        <f>IF((E7&gt;0),64/H17,0)</f>
        <v>0</v>
      </c>
      <c r="I21" s="69"/>
    </row>
    <row r="22" spans="1:12" x14ac:dyDescent="0.2">
      <c r="A22" s="67" t="s">
        <v>80</v>
      </c>
      <c r="D22" s="61" t="s">
        <v>79</v>
      </c>
      <c r="H22" s="76">
        <f>IF((E7&gt;0),(0.0055*(1+(20000*IF(E12&gt;1,K12/1000,H12/1000)/(0.001*E11)+1000000/H17)^0.333333)),0)</f>
        <v>0</v>
      </c>
      <c r="I22" s="69"/>
    </row>
    <row r="23" spans="1:12" x14ac:dyDescent="0.2">
      <c r="A23" s="61" t="s">
        <v>82</v>
      </c>
      <c r="D23" s="61" t="s">
        <v>81</v>
      </c>
      <c r="H23" s="75">
        <f>((IF(H17&gt;2320,H22,H21))*E10/(0.001*E11)+E13)*E8*H16*H16/(2*100000)</f>
        <v>0</v>
      </c>
      <c r="I23" s="69" t="s">
        <v>52</v>
      </c>
      <c r="J23" s="61" t="s">
        <v>19</v>
      </c>
    </row>
    <row r="24" spans="1:12" x14ac:dyDescent="0.2">
      <c r="H24" s="74">
        <f>+H23*100/(9.81)</f>
        <v>0</v>
      </c>
      <c r="I24" s="69" t="s">
        <v>15</v>
      </c>
      <c r="J24" s="61" t="s">
        <v>20</v>
      </c>
    </row>
    <row r="25" spans="1:12" x14ac:dyDescent="0.2">
      <c r="H25" s="69" t="s">
        <v>16</v>
      </c>
      <c r="I25" s="69"/>
    </row>
    <row r="26" spans="1:12" s="73" customFormat="1" hidden="1" x14ac:dyDescent="0.2"/>
    <row r="27" spans="1:12" hidden="1" x14ac:dyDescent="0.2"/>
    <row r="28" spans="1:12" hidden="1" x14ac:dyDescent="0.2">
      <c r="A28" s="61" t="s">
        <v>41</v>
      </c>
      <c r="D28" s="61" t="s">
        <v>18</v>
      </c>
      <c r="H28" s="61" t="s">
        <v>21</v>
      </c>
      <c r="L28" s="61" t="s">
        <v>23</v>
      </c>
    </row>
    <row r="29" spans="1:12" hidden="1" x14ac:dyDescent="0.2">
      <c r="D29" s="72" t="s">
        <v>22</v>
      </c>
      <c r="F29" s="61" t="s">
        <v>42</v>
      </c>
      <c r="H29" s="71" t="s">
        <v>35</v>
      </c>
      <c r="L29" s="70" t="s">
        <v>36</v>
      </c>
    </row>
    <row r="30" spans="1:12" hidden="1" x14ac:dyDescent="0.2">
      <c r="B30" s="61" t="s">
        <v>28</v>
      </c>
    </row>
    <row r="31" spans="1:12" hidden="1" x14ac:dyDescent="0.2">
      <c r="C31" s="61" t="s">
        <v>27</v>
      </c>
      <c r="D31" s="69" t="e">
        <f>0.3164*H17^-0.25</f>
        <v>#DIV/0!</v>
      </c>
      <c r="E31" s="61" t="s">
        <v>39</v>
      </c>
      <c r="F31" s="61" t="s">
        <v>43</v>
      </c>
      <c r="G31" s="61" t="s">
        <v>30</v>
      </c>
      <c r="H31" s="61">
        <f>(1/(2*LOG10((E11/H12))+1.14))^2</f>
        <v>2.2998655583569408E-2</v>
      </c>
      <c r="I31" s="61" t="s">
        <v>37</v>
      </c>
      <c r="K31" s="61" t="s">
        <v>34</v>
      </c>
      <c r="L31" s="61" t="e">
        <f>1/(-2*LOG10(H12/(3.72*E11)+2.51/H17*((H17*E11/H12)^0.0625)*(1/0.48)))^2</f>
        <v>#DIV/0!</v>
      </c>
    </row>
    <row r="32" spans="1:12" hidden="1" x14ac:dyDescent="0.2">
      <c r="C32" s="61" t="s">
        <v>29</v>
      </c>
      <c r="D32" s="61" t="e">
        <f>0.0032+0.221*H17^-0.237</f>
        <v>#DIV/0!</v>
      </c>
      <c r="E32" s="61" t="s">
        <v>37</v>
      </c>
      <c r="F32" s="61" t="s">
        <v>44</v>
      </c>
      <c r="G32" s="61" t="s">
        <v>31</v>
      </c>
      <c r="H32" s="61">
        <f>0.0055+0.15*(H12/E11)^(1/3)</f>
        <v>2.3996590557478527E-2</v>
      </c>
      <c r="I32" s="61" t="s">
        <v>38</v>
      </c>
    </row>
    <row r="33" spans="1:12" hidden="1" x14ac:dyDescent="0.2">
      <c r="C33" s="61" t="s">
        <v>33</v>
      </c>
      <c r="D33" s="61" t="e">
        <f>0.0054+0.3964/H17^0.3</f>
        <v>#DIV/0!</v>
      </c>
      <c r="E33" s="61" t="s">
        <v>40</v>
      </c>
      <c r="F33" s="61" t="s">
        <v>45</v>
      </c>
    </row>
    <row r="34" spans="1:12" hidden="1" x14ac:dyDescent="0.2"/>
    <row r="36" spans="1:12" x14ac:dyDescent="0.2">
      <c r="A36" s="68" t="s">
        <v>47</v>
      </c>
      <c r="B36" s="61" t="s">
        <v>49</v>
      </c>
      <c r="C36" s="61" t="s">
        <v>48</v>
      </c>
      <c r="D36" s="61" t="s">
        <v>50</v>
      </c>
      <c r="F36" s="61" t="s">
        <v>58</v>
      </c>
    </row>
    <row r="37" spans="1:12" x14ac:dyDescent="0.2">
      <c r="A37" s="67" t="s">
        <v>53</v>
      </c>
      <c r="B37" s="65">
        <f>Parameters!AC11</f>
        <v>0</v>
      </c>
      <c r="C37" s="62">
        <v>5</v>
      </c>
      <c r="D37" s="62">
        <f t="shared" ref="D37:D49" si="0">B37*C37</f>
        <v>0</v>
      </c>
    </row>
    <row r="38" spans="1:12" x14ac:dyDescent="0.2">
      <c r="A38" s="67" t="s">
        <v>54</v>
      </c>
      <c r="B38" s="65">
        <f>Parameters!AC12</f>
        <v>0</v>
      </c>
      <c r="C38" s="62">
        <v>0.5</v>
      </c>
      <c r="D38" s="62">
        <f t="shared" si="0"/>
        <v>0</v>
      </c>
      <c r="I38" s="63"/>
    </row>
    <row r="39" spans="1:12" x14ac:dyDescent="0.2">
      <c r="A39" s="67" t="s">
        <v>62</v>
      </c>
      <c r="B39" s="65">
        <f>Parameters!AC13</f>
        <v>0</v>
      </c>
      <c r="C39" s="62">
        <v>4</v>
      </c>
      <c r="D39" s="62">
        <f t="shared" si="0"/>
        <v>0</v>
      </c>
      <c r="I39" s="63"/>
    </row>
    <row r="40" spans="1:12" x14ac:dyDescent="0.2">
      <c r="A40" s="61" t="s">
        <v>94</v>
      </c>
      <c r="B40" s="65">
        <f>Parameters!AC14</f>
        <v>0</v>
      </c>
      <c r="C40" s="62">
        <v>5</v>
      </c>
      <c r="D40" s="62">
        <f t="shared" si="0"/>
        <v>0</v>
      </c>
      <c r="I40" s="63"/>
    </row>
    <row r="41" spans="1:12" x14ac:dyDescent="0.2">
      <c r="A41" s="66" t="s">
        <v>95</v>
      </c>
      <c r="B41" s="65">
        <f>Parameters!AC15</f>
        <v>0</v>
      </c>
      <c r="C41" s="62">
        <v>0.5</v>
      </c>
      <c r="D41" s="62">
        <f t="shared" si="0"/>
        <v>0</v>
      </c>
      <c r="I41" s="63"/>
    </row>
    <row r="42" spans="1:12" x14ac:dyDescent="0.2">
      <c r="A42" s="61" t="s">
        <v>63</v>
      </c>
      <c r="B42" s="65">
        <f>Parameters!AC16</f>
        <v>0</v>
      </c>
      <c r="C42" s="62">
        <v>0.5</v>
      </c>
      <c r="D42" s="62">
        <f t="shared" si="0"/>
        <v>0</v>
      </c>
      <c r="L42" s="63"/>
    </row>
    <row r="43" spans="1:12" x14ac:dyDescent="0.2">
      <c r="A43" s="61" t="s">
        <v>64</v>
      </c>
      <c r="B43" s="65">
        <f>Parameters!AC17</f>
        <v>0</v>
      </c>
      <c r="C43" s="62">
        <v>1</v>
      </c>
      <c r="D43" s="62">
        <f t="shared" si="0"/>
        <v>0</v>
      </c>
      <c r="L43" s="63"/>
    </row>
    <row r="44" spans="1:12" x14ac:dyDescent="0.2">
      <c r="A44" s="61" t="s">
        <v>51</v>
      </c>
      <c r="B44" s="65">
        <f>Parameters!AC18</f>
        <v>0</v>
      </c>
      <c r="C44" s="62">
        <f>IF(H17&gt;2300,0.35,3.5)</f>
        <v>3.5</v>
      </c>
      <c r="D44" s="62">
        <f t="shared" si="0"/>
        <v>0</v>
      </c>
      <c r="F44" s="61" t="s">
        <v>89</v>
      </c>
      <c r="L44" s="63"/>
    </row>
    <row r="45" spans="1:12" x14ac:dyDescent="0.2">
      <c r="A45" s="61" t="s">
        <v>59</v>
      </c>
      <c r="B45" s="65">
        <f>Parameters!AC19</f>
        <v>0</v>
      </c>
      <c r="C45" s="62">
        <v>1</v>
      </c>
      <c r="D45" s="62">
        <f t="shared" si="0"/>
        <v>0</v>
      </c>
      <c r="I45" s="63"/>
    </row>
    <row r="46" spans="1:12" x14ac:dyDescent="0.2">
      <c r="A46" s="61" t="s">
        <v>60</v>
      </c>
      <c r="B46" s="65">
        <f>Parameters!AC20</f>
        <v>0</v>
      </c>
      <c r="C46" s="62">
        <v>0.1</v>
      </c>
      <c r="D46" s="62">
        <f t="shared" si="0"/>
        <v>0</v>
      </c>
      <c r="I46" s="63"/>
    </row>
    <row r="47" spans="1:12" x14ac:dyDescent="0.2">
      <c r="A47" s="61" t="s">
        <v>56</v>
      </c>
      <c r="B47" s="65">
        <f>Parameters!AC21</f>
        <v>0</v>
      </c>
      <c r="C47" s="62">
        <v>1</v>
      </c>
      <c r="D47" s="62">
        <f t="shared" si="0"/>
        <v>0</v>
      </c>
      <c r="I47" s="63"/>
    </row>
    <row r="48" spans="1:12" x14ac:dyDescent="0.2">
      <c r="A48" s="61" t="s">
        <v>57</v>
      </c>
      <c r="B48" s="65">
        <f>Parameters!AC22</f>
        <v>0</v>
      </c>
      <c r="C48" s="62">
        <v>6</v>
      </c>
      <c r="D48" s="62">
        <f t="shared" si="0"/>
        <v>0</v>
      </c>
      <c r="I48" s="63"/>
    </row>
    <row r="49" spans="1:9" x14ac:dyDescent="0.2">
      <c r="A49" s="61" t="s">
        <v>61</v>
      </c>
      <c r="B49" s="65">
        <f>Parameters!AC23</f>
        <v>0</v>
      </c>
      <c r="C49" s="62">
        <v>0.2</v>
      </c>
      <c r="D49" s="62">
        <f t="shared" si="0"/>
        <v>0</v>
      </c>
      <c r="I49" s="63"/>
    </row>
    <row r="50" spans="1:9" x14ac:dyDescent="0.2">
      <c r="B50" s="64"/>
      <c r="C50" s="62"/>
      <c r="D50" s="62"/>
      <c r="I50" s="63"/>
    </row>
    <row r="51" spans="1:9" x14ac:dyDescent="0.2">
      <c r="A51" s="61" t="s">
        <v>46</v>
      </c>
      <c r="B51" s="62"/>
      <c r="C51" s="62"/>
      <c r="D51" s="62">
        <f>SUM(D37:D50)</f>
        <v>0</v>
      </c>
    </row>
  </sheetData>
  <conditionalFormatting sqref="D28">
    <cfRule type="cellIs" dxfId="11" priority="1" stopIfTrue="1" operator="lessThan">
      <formula>65</formula>
    </cfRule>
  </conditionalFormatting>
  <conditionalFormatting sqref="E7 E12 E10 K11 B37:B49">
    <cfRule type="cellIs" dxfId="10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7">
    <pageSetUpPr fitToPage="1"/>
  </sheetPr>
  <dimension ref="A2:Q51"/>
  <sheetViews>
    <sheetView workbookViewId="0">
      <selection activeCell="E9" sqref="E9"/>
    </sheetView>
  </sheetViews>
  <sheetFormatPr defaultRowHeight="12.75" x14ac:dyDescent="0.2"/>
  <cols>
    <col min="1" max="1" width="12.140625" style="61" customWidth="1"/>
    <col min="2" max="3" width="9.140625" style="61"/>
    <col min="4" max="4" width="12.42578125" style="61" bestFit="1" customWidth="1"/>
    <col min="5" max="5" width="12" style="61" bestFit="1" customWidth="1"/>
    <col min="6" max="6" width="10.7109375" style="61" customWidth="1"/>
    <col min="7" max="7" width="12.42578125" style="61" bestFit="1" customWidth="1"/>
    <col min="8" max="9" width="9.42578125" style="61" customWidth="1"/>
    <col min="10" max="10" width="14.140625" style="61" bestFit="1" customWidth="1"/>
    <col min="11" max="11" width="5" style="61" bestFit="1" customWidth="1"/>
    <col min="12" max="12" width="14.85546875" style="61" bestFit="1" customWidth="1"/>
    <col min="13" max="13" width="3.7109375" style="61" bestFit="1" customWidth="1"/>
    <col min="14" max="14" width="8.85546875" style="61" bestFit="1" customWidth="1"/>
    <col min="15" max="15" width="3.7109375" style="61" bestFit="1" customWidth="1"/>
    <col min="16" max="16" width="7.42578125" style="61" bestFit="1" customWidth="1"/>
    <col min="17" max="17" width="3.7109375" style="61" bestFit="1" customWidth="1"/>
    <col min="18" max="18" width="6.85546875" style="61" bestFit="1" customWidth="1"/>
    <col min="19" max="16384" width="9.140625" style="61"/>
  </cols>
  <sheetData>
    <row r="2" spans="1:17" ht="15.75" x14ac:dyDescent="0.25">
      <c r="A2" s="80" t="s">
        <v>0</v>
      </c>
    </row>
    <row r="6" spans="1:17" x14ac:dyDescent="0.2">
      <c r="A6" s="79" t="s">
        <v>85</v>
      </c>
    </row>
    <row r="7" spans="1:17" x14ac:dyDescent="0.2">
      <c r="A7" s="68" t="s">
        <v>4</v>
      </c>
      <c r="E7" s="65">
        <f>Parameters!AD7</f>
        <v>0</v>
      </c>
      <c r="F7" s="69" t="s">
        <v>86</v>
      </c>
    </row>
    <row r="8" spans="1:17" x14ac:dyDescent="0.2">
      <c r="A8" s="68" t="s">
        <v>5</v>
      </c>
      <c r="E8" s="69">
        <f>total!F18</f>
        <v>1025</v>
      </c>
      <c r="F8" s="69" t="s">
        <v>11</v>
      </c>
      <c r="Q8" s="78"/>
    </row>
    <row r="9" spans="1:17" x14ac:dyDescent="0.2">
      <c r="A9" s="68" t="s">
        <v>9</v>
      </c>
      <c r="E9" s="69">
        <f>total!F17</f>
        <v>1</v>
      </c>
      <c r="F9" s="69" t="s">
        <v>73</v>
      </c>
    </row>
    <row r="10" spans="1:17" x14ac:dyDescent="0.2">
      <c r="A10" s="68" t="s">
        <v>6</v>
      </c>
      <c r="E10" s="65">
        <f>Parameters!AD8</f>
        <v>0</v>
      </c>
      <c r="F10" s="69" t="s">
        <v>12</v>
      </c>
    </row>
    <row r="11" spans="1:17" x14ac:dyDescent="0.2">
      <c r="A11" s="68" t="s">
        <v>7</v>
      </c>
      <c r="E11" s="69">
        <f>VLOOKUP(H11,'pipe dimensions'!A1:D21,K11+1)</f>
        <v>65</v>
      </c>
      <c r="F11" s="69" t="s">
        <v>13</v>
      </c>
      <c r="G11" s="78" t="s">
        <v>68</v>
      </c>
      <c r="H11" s="78">
        <v>65</v>
      </c>
      <c r="J11" s="61" t="s">
        <v>72</v>
      </c>
      <c r="K11" s="65">
        <f>Parameters!AD10</f>
        <v>0</v>
      </c>
      <c r="L11" s="61" t="s">
        <v>74</v>
      </c>
    </row>
    <row r="12" spans="1:17" x14ac:dyDescent="0.2">
      <c r="A12" s="68" t="s">
        <v>14</v>
      </c>
      <c r="E12" s="65">
        <f>Parameters!AD9</f>
        <v>0</v>
      </c>
      <c r="F12" s="69"/>
      <c r="G12" s="78" t="s">
        <v>24</v>
      </c>
      <c r="H12" s="78">
        <v>0.15</v>
      </c>
      <c r="I12" s="61" t="s">
        <v>13</v>
      </c>
      <c r="J12" s="78" t="s">
        <v>25</v>
      </c>
      <c r="K12" s="78">
        <v>0.02</v>
      </c>
      <c r="L12" s="61" t="s">
        <v>13</v>
      </c>
    </row>
    <row r="13" spans="1:17" x14ac:dyDescent="0.2">
      <c r="A13" s="68" t="s">
        <v>8</v>
      </c>
      <c r="E13" s="69">
        <f>IF(E10&gt;0,D51,0)</f>
        <v>0</v>
      </c>
      <c r="F13" s="69"/>
    </row>
    <row r="15" spans="1:17" x14ac:dyDescent="0.2">
      <c r="A15" s="68" t="s">
        <v>1</v>
      </c>
      <c r="H15" s="69"/>
    </row>
    <row r="16" spans="1:17" x14ac:dyDescent="0.2">
      <c r="A16" s="67" t="s">
        <v>3</v>
      </c>
      <c r="D16" s="68" t="s">
        <v>75</v>
      </c>
      <c r="H16" s="74">
        <f>E7/3600/(0.785*(0.001*E11)*(0.001*E11))</f>
        <v>0</v>
      </c>
      <c r="I16" s="69" t="s">
        <v>2</v>
      </c>
    </row>
    <row r="17" spans="1:12" x14ac:dyDescent="0.2">
      <c r="A17" s="67" t="s">
        <v>10</v>
      </c>
      <c r="D17" s="68" t="s">
        <v>76</v>
      </c>
      <c r="H17" s="74">
        <f>H16*0.001*E11/E9*1000000</f>
        <v>0</v>
      </c>
      <c r="I17" s="77">
        <f>H17</f>
        <v>0</v>
      </c>
    </row>
    <row r="18" spans="1:12" x14ac:dyDescent="0.2">
      <c r="A18" s="67" t="s">
        <v>32</v>
      </c>
      <c r="D18" s="68"/>
      <c r="H18" s="76">
        <f>H12/E11</f>
        <v>2.3076923076923075E-3</v>
      </c>
      <c r="I18" s="69"/>
    </row>
    <row r="19" spans="1:12" x14ac:dyDescent="0.2">
      <c r="A19" s="67" t="s">
        <v>26</v>
      </c>
      <c r="D19" s="68"/>
      <c r="H19" s="74">
        <f>H17*H12/E11</f>
        <v>0</v>
      </c>
      <c r="I19" s="69"/>
    </row>
    <row r="20" spans="1:12" x14ac:dyDescent="0.2">
      <c r="A20" s="67"/>
      <c r="D20" s="68"/>
      <c r="H20" s="74"/>
      <c r="I20" s="69"/>
    </row>
    <row r="21" spans="1:12" x14ac:dyDescent="0.2">
      <c r="A21" s="67" t="s">
        <v>78</v>
      </c>
      <c r="D21" s="61" t="s">
        <v>77</v>
      </c>
      <c r="H21" s="76">
        <f>IF((E7&gt;0),64/H17,0)</f>
        <v>0</v>
      </c>
      <c r="I21" s="69"/>
    </row>
    <row r="22" spans="1:12" x14ac:dyDescent="0.2">
      <c r="A22" s="67" t="s">
        <v>80</v>
      </c>
      <c r="D22" s="61" t="s">
        <v>79</v>
      </c>
      <c r="H22" s="76">
        <f>IF((E7&gt;0),(0.0055*(1+(20000*IF(E12&gt;1,K12/1000,H12/1000)/(0.001*E11)+1000000/H17)^0.333333)),0)</f>
        <v>0</v>
      </c>
      <c r="I22" s="69"/>
    </row>
    <row r="23" spans="1:12" x14ac:dyDescent="0.2">
      <c r="A23" s="61" t="s">
        <v>82</v>
      </c>
      <c r="D23" s="61" t="s">
        <v>81</v>
      </c>
      <c r="H23" s="75">
        <f>((IF(H17&gt;2320,H22,H21))*E10/(0.001*E11)+E13)*E8*H16*H16/(2*100000)</f>
        <v>0</v>
      </c>
      <c r="I23" s="69" t="s">
        <v>52</v>
      </c>
      <c r="J23" s="61" t="s">
        <v>19</v>
      </c>
    </row>
    <row r="24" spans="1:12" x14ac:dyDescent="0.2">
      <c r="H24" s="74">
        <f>+H23*100/(9.81)</f>
        <v>0</v>
      </c>
      <c r="I24" s="69" t="s">
        <v>15</v>
      </c>
      <c r="J24" s="61" t="s">
        <v>20</v>
      </c>
    </row>
    <row r="25" spans="1:12" x14ac:dyDescent="0.2">
      <c r="H25" s="69" t="s">
        <v>16</v>
      </c>
      <c r="I25" s="69"/>
    </row>
    <row r="26" spans="1:12" s="73" customFormat="1" hidden="1" x14ac:dyDescent="0.2"/>
    <row r="27" spans="1:12" hidden="1" x14ac:dyDescent="0.2"/>
    <row r="28" spans="1:12" hidden="1" x14ac:dyDescent="0.2">
      <c r="A28" s="61" t="s">
        <v>41</v>
      </c>
      <c r="D28" s="61" t="s">
        <v>18</v>
      </c>
      <c r="H28" s="61" t="s">
        <v>21</v>
      </c>
      <c r="L28" s="61" t="s">
        <v>23</v>
      </c>
    </row>
    <row r="29" spans="1:12" hidden="1" x14ac:dyDescent="0.2">
      <c r="D29" s="72" t="s">
        <v>22</v>
      </c>
      <c r="F29" s="61" t="s">
        <v>42</v>
      </c>
      <c r="H29" s="71" t="s">
        <v>35</v>
      </c>
      <c r="L29" s="70" t="s">
        <v>36</v>
      </c>
    </row>
    <row r="30" spans="1:12" hidden="1" x14ac:dyDescent="0.2">
      <c r="B30" s="61" t="s">
        <v>28</v>
      </c>
    </row>
    <row r="31" spans="1:12" hidden="1" x14ac:dyDescent="0.2">
      <c r="C31" s="61" t="s">
        <v>27</v>
      </c>
      <c r="D31" s="69" t="e">
        <f>0.3164*H17^-0.25</f>
        <v>#DIV/0!</v>
      </c>
      <c r="E31" s="61" t="s">
        <v>39</v>
      </c>
      <c r="F31" s="61" t="s">
        <v>43</v>
      </c>
      <c r="G31" s="61" t="s">
        <v>30</v>
      </c>
      <c r="H31" s="61">
        <f>(1/(2*LOG10((E11/H12))+1.14))^2</f>
        <v>2.4310297495506557E-2</v>
      </c>
      <c r="I31" s="61" t="s">
        <v>37</v>
      </c>
      <c r="K31" s="61" t="s">
        <v>34</v>
      </c>
      <c r="L31" s="61" t="e">
        <f>1/(-2*LOG10(H12/(3.72*E11)+2.51/H17*((H17*E11/H12)^0.0625)*(1/0.48)))^2</f>
        <v>#DIV/0!</v>
      </c>
    </row>
    <row r="32" spans="1:12" hidden="1" x14ac:dyDescent="0.2">
      <c r="C32" s="61" t="s">
        <v>29</v>
      </c>
      <c r="D32" s="61" t="e">
        <f>0.0032+0.221*H17^-0.237</f>
        <v>#DIV/0!</v>
      </c>
      <c r="E32" s="61" t="s">
        <v>37</v>
      </c>
      <c r="F32" s="61" t="s">
        <v>44</v>
      </c>
      <c r="G32" s="61" t="s">
        <v>31</v>
      </c>
      <c r="H32" s="61">
        <f>0.0055+0.15*(H12/E11)^(1/3)</f>
        <v>2.5322140945186901E-2</v>
      </c>
      <c r="I32" s="61" t="s">
        <v>38</v>
      </c>
    </row>
    <row r="33" spans="1:12" hidden="1" x14ac:dyDescent="0.2">
      <c r="C33" s="61" t="s">
        <v>33</v>
      </c>
      <c r="D33" s="61" t="e">
        <f>0.0054+0.3964/H17^0.3</f>
        <v>#DIV/0!</v>
      </c>
      <c r="E33" s="61" t="s">
        <v>40</v>
      </c>
      <c r="F33" s="61" t="s">
        <v>45</v>
      </c>
    </row>
    <row r="34" spans="1:12" hidden="1" x14ac:dyDescent="0.2"/>
    <row r="36" spans="1:12" x14ac:dyDescent="0.2">
      <c r="A36" s="68" t="s">
        <v>47</v>
      </c>
      <c r="B36" s="61" t="s">
        <v>49</v>
      </c>
      <c r="C36" s="61" t="s">
        <v>48</v>
      </c>
      <c r="D36" s="61" t="s">
        <v>50</v>
      </c>
      <c r="F36" s="61" t="s">
        <v>58</v>
      </c>
    </row>
    <row r="37" spans="1:12" x14ac:dyDescent="0.2">
      <c r="A37" s="67" t="s">
        <v>53</v>
      </c>
      <c r="B37" s="65">
        <f>Parameters!AD11</f>
        <v>0</v>
      </c>
      <c r="C37" s="62">
        <v>5</v>
      </c>
      <c r="D37" s="62">
        <f t="shared" ref="D37:D49" si="0">B37*C37</f>
        <v>0</v>
      </c>
    </row>
    <row r="38" spans="1:12" x14ac:dyDescent="0.2">
      <c r="A38" s="67" t="s">
        <v>54</v>
      </c>
      <c r="B38" s="65">
        <f>Parameters!AD12</f>
        <v>0</v>
      </c>
      <c r="C38" s="62">
        <v>0.5</v>
      </c>
      <c r="D38" s="62">
        <f t="shared" si="0"/>
        <v>0</v>
      </c>
      <c r="I38" s="63"/>
    </row>
    <row r="39" spans="1:12" x14ac:dyDescent="0.2">
      <c r="A39" s="67" t="s">
        <v>62</v>
      </c>
      <c r="B39" s="65">
        <f>Parameters!AD13</f>
        <v>0</v>
      </c>
      <c r="C39" s="62">
        <v>4</v>
      </c>
      <c r="D39" s="62">
        <f t="shared" si="0"/>
        <v>0</v>
      </c>
      <c r="I39" s="63"/>
    </row>
    <row r="40" spans="1:12" x14ac:dyDescent="0.2">
      <c r="A40" s="61" t="s">
        <v>94</v>
      </c>
      <c r="B40" s="65">
        <f>Parameters!AD14</f>
        <v>0</v>
      </c>
      <c r="C40" s="62">
        <v>5</v>
      </c>
      <c r="D40" s="62">
        <f t="shared" si="0"/>
        <v>0</v>
      </c>
      <c r="I40" s="63"/>
    </row>
    <row r="41" spans="1:12" x14ac:dyDescent="0.2">
      <c r="A41" s="66" t="s">
        <v>95</v>
      </c>
      <c r="B41" s="65">
        <f>Parameters!AD15</f>
        <v>0</v>
      </c>
      <c r="C41" s="62">
        <v>0.5</v>
      </c>
      <c r="D41" s="62">
        <f t="shared" si="0"/>
        <v>0</v>
      </c>
      <c r="I41" s="63"/>
    </row>
    <row r="42" spans="1:12" x14ac:dyDescent="0.2">
      <c r="A42" s="61" t="s">
        <v>63</v>
      </c>
      <c r="B42" s="65">
        <f>Parameters!AD16</f>
        <v>0</v>
      </c>
      <c r="C42" s="62">
        <v>0.5</v>
      </c>
      <c r="D42" s="62">
        <f t="shared" si="0"/>
        <v>0</v>
      </c>
      <c r="L42" s="63"/>
    </row>
    <row r="43" spans="1:12" x14ac:dyDescent="0.2">
      <c r="A43" s="61" t="s">
        <v>64</v>
      </c>
      <c r="B43" s="65">
        <f>Parameters!AD17</f>
        <v>0</v>
      </c>
      <c r="C43" s="62">
        <v>1</v>
      </c>
      <c r="D43" s="62">
        <f t="shared" si="0"/>
        <v>0</v>
      </c>
      <c r="L43" s="63"/>
    </row>
    <row r="44" spans="1:12" x14ac:dyDescent="0.2">
      <c r="A44" s="61" t="s">
        <v>51</v>
      </c>
      <c r="B44" s="65">
        <f>Parameters!AD18</f>
        <v>0</v>
      </c>
      <c r="C44" s="62">
        <f>IF(H17&gt;2300,0.35,3.5)</f>
        <v>3.5</v>
      </c>
      <c r="D44" s="62">
        <f t="shared" si="0"/>
        <v>0</v>
      </c>
      <c r="F44" s="61" t="s">
        <v>89</v>
      </c>
      <c r="L44" s="63"/>
    </row>
    <row r="45" spans="1:12" x14ac:dyDescent="0.2">
      <c r="A45" s="61" t="s">
        <v>59</v>
      </c>
      <c r="B45" s="65">
        <f>Parameters!AD19</f>
        <v>0</v>
      </c>
      <c r="C45" s="62">
        <v>1</v>
      </c>
      <c r="D45" s="62">
        <f t="shared" si="0"/>
        <v>0</v>
      </c>
      <c r="I45" s="63"/>
    </row>
    <row r="46" spans="1:12" x14ac:dyDescent="0.2">
      <c r="A46" s="61" t="s">
        <v>60</v>
      </c>
      <c r="B46" s="65">
        <f>Parameters!AD20</f>
        <v>0</v>
      </c>
      <c r="C46" s="62">
        <v>0.1</v>
      </c>
      <c r="D46" s="62">
        <f t="shared" si="0"/>
        <v>0</v>
      </c>
      <c r="I46" s="63"/>
    </row>
    <row r="47" spans="1:12" x14ac:dyDescent="0.2">
      <c r="A47" s="61" t="s">
        <v>56</v>
      </c>
      <c r="B47" s="65">
        <f>Parameters!AD21</f>
        <v>0</v>
      </c>
      <c r="C47" s="62">
        <v>1</v>
      </c>
      <c r="D47" s="62">
        <f t="shared" si="0"/>
        <v>0</v>
      </c>
      <c r="I47" s="63"/>
    </row>
    <row r="48" spans="1:12" x14ac:dyDescent="0.2">
      <c r="A48" s="61" t="s">
        <v>57</v>
      </c>
      <c r="B48" s="65">
        <f>Parameters!AD22</f>
        <v>0</v>
      </c>
      <c r="C48" s="62">
        <v>6</v>
      </c>
      <c r="D48" s="62">
        <f t="shared" si="0"/>
        <v>0</v>
      </c>
      <c r="I48" s="63"/>
    </row>
    <row r="49" spans="1:9" x14ac:dyDescent="0.2">
      <c r="A49" s="61" t="s">
        <v>61</v>
      </c>
      <c r="B49" s="65">
        <f>Parameters!AD23</f>
        <v>0</v>
      </c>
      <c r="C49" s="62">
        <v>0.2</v>
      </c>
      <c r="D49" s="62">
        <f t="shared" si="0"/>
        <v>0</v>
      </c>
      <c r="I49" s="63"/>
    </row>
    <row r="50" spans="1:9" x14ac:dyDescent="0.2">
      <c r="B50" s="64"/>
      <c r="C50" s="62"/>
      <c r="D50" s="62"/>
      <c r="I50" s="63"/>
    </row>
    <row r="51" spans="1:9" x14ac:dyDescent="0.2">
      <c r="A51" s="61" t="s">
        <v>46</v>
      </c>
      <c r="B51" s="62"/>
      <c r="C51" s="62"/>
      <c r="D51" s="62">
        <f>SUM(D37:D50)</f>
        <v>0</v>
      </c>
    </row>
  </sheetData>
  <conditionalFormatting sqref="D28">
    <cfRule type="cellIs" dxfId="9" priority="1" stopIfTrue="1" operator="lessThan">
      <formula>65</formula>
    </cfRule>
  </conditionalFormatting>
  <conditionalFormatting sqref="E7 E12 E10 K11 B37:B49">
    <cfRule type="cellIs" dxfId="8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8">
    <pageSetUpPr fitToPage="1"/>
  </sheetPr>
  <dimension ref="A2:Q51"/>
  <sheetViews>
    <sheetView workbookViewId="0">
      <selection activeCell="E9" sqref="E9"/>
    </sheetView>
  </sheetViews>
  <sheetFormatPr defaultRowHeight="12.75" x14ac:dyDescent="0.2"/>
  <cols>
    <col min="1" max="1" width="12.140625" style="61" customWidth="1"/>
    <col min="2" max="3" width="9.140625" style="61"/>
    <col min="4" max="4" width="12.42578125" style="61" bestFit="1" customWidth="1"/>
    <col min="5" max="5" width="12" style="61" bestFit="1" customWidth="1"/>
    <col min="6" max="6" width="10.7109375" style="61" customWidth="1"/>
    <col min="7" max="7" width="12.42578125" style="61" bestFit="1" customWidth="1"/>
    <col min="8" max="9" width="9.42578125" style="61" customWidth="1"/>
    <col min="10" max="10" width="14.140625" style="61" bestFit="1" customWidth="1"/>
    <col min="11" max="11" width="5" style="61" bestFit="1" customWidth="1"/>
    <col min="12" max="12" width="14.85546875" style="61" bestFit="1" customWidth="1"/>
    <col min="13" max="13" width="3.7109375" style="61" bestFit="1" customWidth="1"/>
    <col min="14" max="14" width="8.85546875" style="61" bestFit="1" customWidth="1"/>
    <col min="15" max="15" width="3.7109375" style="61" bestFit="1" customWidth="1"/>
    <col min="16" max="16" width="7.42578125" style="61" bestFit="1" customWidth="1"/>
    <col min="17" max="17" width="3.7109375" style="61" bestFit="1" customWidth="1"/>
    <col min="18" max="18" width="6.85546875" style="61" bestFit="1" customWidth="1"/>
    <col min="19" max="16384" width="9.140625" style="61"/>
  </cols>
  <sheetData>
    <row r="2" spans="1:17" ht="15.75" x14ac:dyDescent="0.25">
      <c r="A2" s="80" t="s">
        <v>0</v>
      </c>
    </row>
    <row r="6" spans="1:17" x14ac:dyDescent="0.2">
      <c r="A6" s="79" t="s">
        <v>85</v>
      </c>
    </row>
    <row r="7" spans="1:17" x14ac:dyDescent="0.2">
      <c r="A7" s="68" t="s">
        <v>4</v>
      </c>
      <c r="E7" s="65">
        <f>Parameters!AE7</f>
        <v>0</v>
      </c>
      <c r="F7" s="69" t="s">
        <v>86</v>
      </c>
    </row>
    <row r="8" spans="1:17" x14ac:dyDescent="0.2">
      <c r="A8" s="68" t="s">
        <v>5</v>
      </c>
      <c r="E8" s="69">
        <f>total!F18</f>
        <v>1025</v>
      </c>
      <c r="F8" s="69" t="s">
        <v>11</v>
      </c>
      <c r="Q8" s="78"/>
    </row>
    <row r="9" spans="1:17" x14ac:dyDescent="0.2">
      <c r="A9" s="68" t="s">
        <v>9</v>
      </c>
      <c r="E9" s="69">
        <f>total!F17</f>
        <v>1</v>
      </c>
      <c r="F9" s="69" t="s">
        <v>73</v>
      </c>
    </row>
    <row r="10" spans="1:17" x14ac:dyDescent="0.2">
      <c r="A10" s="68" t="s">
        <v>6</v>
      </c>
      <c r="E10" s="65">
        <f>Parameters!AE8</f>
        <v>0</v>
      </c>
      <c r="F10" s="69" t="s">
        <v>12</v>
      </c>
    </row>
    <row r="11" spans="1:17" x14ac:dyDescent="0.2">
      <c r="A11" s="68" t="s">
        <v>7</v>
      </c>
      <c r="E11" s="69">
        <f>VLOOKUP(H11,'pipe dimensions'!A1:D21,K11+1)</f>
        <v>50</v>
      </c>
      <c r="F11" s="69" t="s">
        <v>13</v>
      </c>
      <c r="G11" s="78" t="s">
        <v>68</v>
      </c>
      <c r="H11" s="78">
        <v>50</v>
      </c>
      <c r="J11" s="61" t="s">
        <v>72</v>
      </c>
      <c r="K11" s="65">
        <f>Parameters!AE10</f>
        <v>0</v>
      </c>
      <c r="L11" s="61" t="s">
        <v>74</v>
      </c>
    </row>
    <row r="12" spans="1:17" x14ac:dyDescent="0.2">
      <c r="A12" s="68" t="s">
        <v>14</v>
      </c>
      <c r="E12" s="65">
        <f>Parameters!AE9</f>
        <v>0</v>
      </c>
      <c r="F12" s="69"/>
      <c r="G12" s="78" t="s">
        <v>24</v>
      </c>
      <c r="H12" s="78">
        <v>0.15</v>
      </c>
      <c r="I12" s="61" t="s">
        <v>13</v>
      </c>
      <c r="J12" s="78" t="s">
        <v>25</v>
      </c>
      <c r="K12" s="78">
        <v>0.02</v>
      </c>
      <c r="L12" s="61" t="s">
        <v>13</v>
      </c>
    </row>
    <row r="13" spans="1:17" x14ac:dyDescent="0.2">
      <c r="A13" s="68" t="s">
        <v>8</v>
      </c>
      <c r="E13" s="69">
        <f>IF(E10&gt;0,D51,0)</f>
        <v>0</v>
      </c>
      <c r="F13" s="69"/>
    </row>
    <row r="15" spans="1:17" x14ac:dyDescent="0.2">
      <c r="A15" s="68" t="s">
        <v>1</v>
      </c>
      <c r="H15" s="69"/>
    </row>
    <row r="16" spans="1:17" x14ac:dyDescent="0.2">
      <c r="A16" s="67" t="s">
        <v>3</v>
      </c>
      <c r="D16" s="68" t="s">
        <v>75</v>
      </c>
      <c r="H16" s="74">
        <f>E7/3600/(0.785*(0.001*E11)*(0.001*E11))</f>
        <v>0</v>
      </c>
      <c r="I16" s="69" t="s">
        <v>2</v>
      </c>
    </row>
    <row r="17" spans="1:12" x14ac:dyDescent="0.2">
      <c r="A17" s="67" t="s">
        <v>10</v>
      </c>
      <c r="D17" s="68" t="s">
        <v>76</v>
      </c>
      <c r="H17" s="74">
        <f>H16*0.001*E11/E9*1000000</f>
        <v>0</v>
      </c>
      <c r="I17" s="77">
        <f>H17</f>
        <v>0</v>
      </c>
    </row>
    <row r="18" spans="1:12" x14ac:dyDescent="0.2">
      <c r="A18" s="67" t="s">
        <v>32</v>
      </c>
      <c r="D18" s="68"/>
      <c r="H18" s="76">
        <f>H12/E11</f>
        <v>3.0000000000000001E-3</v>
      </c>
      <c r="I18" s="69"/>
    </row>
    <row r="19" spans="1:12" x14ac:dyDescent="0.2">
      <c r="A19" s="67" t="s">
        <v>26</v>
      </c>
      <c r="D19" s="68"/>
      <c r="H19" s="74">
        <f>H17*H12/E11</f>
        <v>0</v>
      </c>
      <c r="I19" s="69"/>
    </row>
    <row r="20" spans="1:12" x14ac:dyDescent="0.2">
      <c r="A20" s="67"/>
      <c r="D20" s="68"/>
      <c r="H20" s="74"/>
      <c r="I20" s="69"/>
    </row>
    <row r="21" spans="1:12" x14ac:dyDescent="0.2">
      <c r="A21" s="67" t="s">
        <v>78</v>
      </c>
      <c r="D21" s="61" t="s">
        <v>77</v>
      </c>
      <c r="H21" s="76">
        <f>IF((E7&gt;0),64/H17,0)</f>
        <v>0</v>
      </c>
      <c r="I21" s="69"/>
    </row>
    <row r="22" spans="1:12" x14ac:dyDescent="0.2">
      <c r="A22" s="67" t="s">
        <v>80</v>
      </c>
      <c r="D22" s="61" t="s">
        <v>79</v>
      </c>
      <c r="H22" s="76">
        <f>IF((E7&gt;0),(0.0055*(1+(20000*IF(E12&gt;1,K12/1000,H12/1000)/(0.001*E11)+1000000/H17)^0.333333)),0)</f>
        <v>0</v>
      </c>
      <c r="I22" s="69"/>
    </row>
    <row r="23" spans="1:12" x14ac:dyDescent="0.2">
      <c r="A23" s="61" t="s">
        <v>82</v>
      </c>
      <c r="D23" s="61" t="s">
        <v>81</v>
      </c>
      <c r="H23" s="75">
        <f>((IF(H17&gt;2320,H22,H21))*E10/(0.001*E11)+E13)*E8*H16*H16/(2*100000)</f>
        <v>0</v>
      </c>
      <c r="I23" s="69" t="s">
        <v>52</v>
      </c>
      <c r="J23" s="61" t="s">
        <v>19</v>
      </c>
    </row>
    <row r="24" spans="1:12" x14ac:dyDescent="0.2">
      <c r="H24" s="74">
        <f>+H23*100/(9.81)</f>
        <v>0</v>
      </c>
      <c r="I24" s="69" t="s">
        <v>15</v>
      </c>
      <c r="J24" s="61" t="s">
        <v>20</v>
      </c>
    </row>
    <row r="25" spans="1:12" x14ac:dyDescent="0.2">
      <c r="H25" s="69" t="s">
        <v>16</v>
      </c>
      <c r="I25" s="69"/>
    </row>
    <row r="26" spans="1:12" s="73" customFormat="1" hidden="1" x14ac:dyDescent="0.2"/>
    <row r="27" spans="1:12" hidden="1" x14ac:dyDescent="0.2"/>
    <row r="28" spans="1:12" hidden="1" x14ac:dyDescent="0.2">
      <c r="A28" s="61" t="s">
        <v>41</v>
      </c>
      <c r="D28" s="61" t="s">
        <v>18</v>
      </c>
      <c r="H28" s="61" t="s">
        <v>21</v>
      </c>
      <c r="L28" s="61" t="s">
        <v>23</v>
      </c>
    </row>
    <row r="29" spans="1:12" hidden="1" x14ac:dyDescent="0.2">
      <c r="D29" s="72" t="s">
        <v>22</v>
      </c>
      <c r="F29" s="61" t="s">
        <v>42</v>
      </c>
      <c r="H29" s="71" t="s">
        <v>35</v>
      </c>
      <c r="L29" s="70" t="s">
        <v>36</v>
      </c>
    </row>
    <row r="30" spans="1:12" hidden="1" x14ac:dyDescent="0.2">
      <c r="B30" s="61" t="s">
        <v>28</v>
      </c>
    </row>
    <row r="31" spans="1:12" hidden="1" x14ac:dyDescent="0.2">
      <c r="C31" s="61" t="s">
        <v>27</v>
      </c>
      <c r="D31" s="69" t="e">
        <f>0.3164*H17^-0.25</f>
        <v>#DIV/0!</v>
      </c>
      <c r="E31" s="61" t="s">
        <v>39</v>
      </c>
      <c r="F31" s="61" t="s">
        <v>43</v>
      </c>
      <c r="G31" s="61" t="s">
        <v>30</v>
      </c>
      <c r="H31" s="61">
        <f>(1/(2*LOG10((E11/H12))+1.14))^2</f>
        <v>2.6134501498587013E-2</v>
      </c>
      <c r="I31" s="61" t="s">
        <v>37</v>
      </c>
      <c r="K31" s="61" t="s">
        <v>34</v>
      </c>
      <c r="L31" s="61" t="e">
        <f>1/(-2*LOG10(H12/(3.72*E11)+2.51/H17*((H17*E11/H12)^0.0625)*(1/0.48)))^2</f>
        <v>#DIV/0!</v>
      </c>
    </row>
    <row r="32" spans="1:12" hidden="1" x14ac:dyDescent="0.2">
      <c r="C32" s="61" t="s">
        <v>29</v>
      </c>
      <c r="D32" s="61" t="e">
        <f>0.0032+0.221*H17^-0.237</f>
        <v>#DIV/0!</v>
      </c>
      <c r="E32" s="61" t="s">
        <v>37</v>
      </c>
      <c r="F32" s="61" t="s">
        <v>44</v>
      </c>
      <c r="G32" s="61" t="s">
        <v>31</v>
      </c>
      <c r="H32" s="61">
        <f>0.0055+0.15*(H12/E11)^(1/3)</f>
        <v>2.7133743554611123E-2</v>
      </c>
      <c r="I32" s="61" t="s">
        <v>38</v>
      </c>
    </row>
    <row r="33" spans="1:12" hidden="1" x14ac:dyDescent="0.2">
      <c r="C33" s="61" t="s">
        <v>33</v>
      </c>
      <c r="D33" s="61" t="e">
        <f>0.0054+0.3964/H17^0.3</f>
        <v>#DIV/0!</v>
      </c>
      <c r="E33" s="61" t="s">
        <v>40</v>
      </c>
      <c r="F33" s="61" t="s">
        <v>45</v>
      </c>
    </row>
    <row r="34" spans="1:12" hidden="1" x14ac:dyDescent="0.2"/>
    <row r="36" spans="1:12" x14ac:dyDescent="0.2">
      <c r="A36" s="68" t="s">
        <v>47</v>
      </c>
      <c r="B36" s="61" t="s">
        <v>49</v>
      </c>
      <c r="C36" s="61" t="s">
        <v>48</v>
      </c>
      <c r="D36" s="61" t="s">
        <v>50</v>
      </c>
      <c r="F36" s="61" t="s">
        <v>58</v>
      </c>
    </row>
    <row r="37" spans="1:12" x14ac:dyDescent="0.2">
      <c r="A37" s="67" t="s">
        <v>53</v>
      </c>
      <c r="B37" s="65">
        <f>Parameters!AE11</f>
        <v>0</v>
      </c>
      <c r="C37" s="62">
        <v>5</v>
      </c>
      <c r="D37" s="62">
        <f t="shared" ref="D37:D49" si="0">B37*C37</f>
        <v>0</v>
      </c>
    </row>
    <row r="38" spans="1:12" x14ac:dyDescent="0.2">
      <c r="A38" s="67" t="s">
        <v>54</v>
      </c>
      <c r="B38" s="65">
        <f>Parameters!AE12</f>
        <v>0</v>
      </c>
      <c r="C38" s="62">
        <v>0.5</v>
      </c>
      <c r="D38" s="62">
        <f t="shared" si="0"/>
        <v>0</v>
      </c>
      <c r="I38" s="63"/>
    </row>
    <row r="39" spans="1:12" x14ac:dyDescent="0.2">
      <c r="A39" s="67" t="s">
        <v>62</v>
      </c>
      <c r="B39" s="65">
        <f>Parameters!AE13</f>
        <v>0</v>
      </c>
      <c r="C39" s="62">
        <v>4</v>
      </c>
      <c r="D39" s="62">
        <f t="shared" si="0"/>
        <v>0</v>
      </c>
      <c r="I39" s="63"/>
    </row>
    <row r="40" spans="1:12" x14ac:dyDescent="0.2">
      <c r="A40" s="61" t="s">
        <v>94</v>
      </c>
      <c r="B40" s="65">
        <f>Parameters!AE14</f>
        <v>0</v>
      </c>
      <c r="C40" s="62">
        <v>5</v>
      </c>
      <c r="D40" s="62">
        <f t="shared" si="0"/>
        <v>0</v>
      </c>
      <c r="I40" s="63"/>
    </row>
    <row r="41" spans="1:12" x14ac:dyDescent="0.2">
      <c r="A41" s="66" t="s">
        <v>95</v>
      </c>
      <c r="B41" s="65">
        <f>Parameters!AE15</f>
        <v>0</v>
      </c>
      <c r="C41" s="62">
        <v>0.5</v>
      </c>
      <c r="D41" s="62">
        <f t="shared" si="0"/>
        <v>0</v>
      </c>
      <c r="I41" s="63"/>
    </row>
    <row r="42" spans="1:12" x14ac:dyDescent="0.2">
      <c r="A42" s="61" t="s">
        <v>63</v>
      </c>
      <c r="B42" s="65">
        <f>Parameters!AE16</f>
        <v>0</v>
      </c>
      <c r="C42" s="62">
        <v>0.5</v>
      </c>
      <c r="D42" s="62">
        <f t="shared" si="0"/>
        <v>0</v>
      </c>
      <c r="L42" s="63"/>
    </row>
    <row r="43" spans="1:12" x14ac:dyDescent="0.2">
      <c r="A43" s="61" t="s">
        <v>64</v>
      </c>
      <c r="B43" s="65">
        <f>Parameters!AE17</f>
        <v>0</v>
      </c>
      <c r="C43" s="62">
        <v>1</v>
      </c>
      <c r="D43" s="62">
        <f t="shared" si="0"/>
        <v>0</v>
      </c>
      <c r="L43" s="63"/>
    </row>
    <row r="44" spans="1:12" x14ac:dyDescent="0.2">
      <c r="A44" s="61" t="s">
        <v>51</v>
      </c>
      <c r="B44" s="65">
        <f>Parameters!AE18</f>
        <v>0</v>
      </c>
      <c r="C44" s="62">
        <f>IF(H17&gt;2300,0.35,3.5)</f>
        <v>3.5</v>
      </c>
      <c r="D44" s="62">
        <f t="shared" si="0"/>
        <v>0</v>
      </c>
      <c r="F44" s="61" t="s">
        <v>89</v>
      </c>
      <c r="L44" s="63"/>
    </row>
    <row r="45" spans="1:12" x14ac:dyDescent="0.2">
      <c r="A45" s="61" t="s">
        <v>59</v>
      </c>
      <c r="B45" s="65">
        <f>Parameters!AE19</f>
        <v>0</v>
      </c>
      <c r="C45" s="62">
        <v>1</v>
      </c>
      <c r="D45" s="62">
        <f t="shared" si="0"/>
        <v>0</v>
      </c>
      <c r="I45" s="63"/>
    </row>
    <row r="46" spans="1:12" x14ac:dyDescent="0.2">
      <c r="A46" s="61" t="s">
        <v>60</v>
      </c>
      <c r="B46" s="65">
        <f>Parameters!AE20</f>
        <v>0</v>
      </c>
      <c r="C46" s="62">
        <v>0.1</v>
      </c>
      <c r="D46" s="62">
        <f t="shared" si="0"/>
        <v>0</v>
      </c>
      <c r="I46" s="63"/>
    </row>
    <row r="47" spans="1:12" x14ac:dyDescent="0.2">
      <c r="A47" s="61" t="s">
        <v>56</v>
      </c>
      <c r="B47" s="65">
        <f>Parameters!AE21</f>
        <v>0</v>
      </c>
      <c r="C47" s="62">
        <v>1</v>
      </c>
      <c r="D47" s="62">
        <f t="shared" si="0"/>
        <v>0</v>
      </c>
      <c r="I47" s="63"/>
    </row>
    <row r="48" spans="1:12" x14ac:dyDescent="0.2">
      <c r="A48" s="61" t="s">
        <v>57</v>
      </c>
      <c r="B48" s="65">
        <f>Parameters!AE22</f>
        <v>0</v>
      </c>
      <c r="C48" s="62">
        <v>6</v>
      </c>
      <c r="D48" s="62">
        <f t="shared" si="0"/>
        <v>0</v>
      </c>
      <c r="I48" s="63"/>
    </row>
    <row r="49" spans="1:9" x14ac:dyDescent="0.2">
      <c r="A49" s="61" t="s">
        <v>61</v>
      </c>
      <c r="B49" s="65">
        <f>Parameters!AE23</f>
        <v>0</v>
      </c>
      <c r="C49" s="62">
        <v>0.2</v>
      </c>
      <c r="D49" s="62">
        <f t="shared" si="0"/>
        <v>0</v>
      </c>
      <c r="I49" s="63"/>
    </row>
    <row r="50" spans="1:9" x14ac:dyDescent="0.2">
      <c r="B50" s="64"/>
      <c r="C50" s="62"/>
      <c r="D50" s="62"/>
      <c r="I50" s="63"/>
    </row>
    <row r="51" spans="1:9" x14ac:dyDescent="0.2">
      <c r="A51" s="61" t="s">
        <v>46</v>
      </c>
      <c r="B51" s="62"/>
      <c r="C51" s="62"/>
      <c r="D51" s="62">
        <f>SUM(D37:D50)</f>
        <v>0</v>
      </c>
    </row>
  </sheetData>
  <conditionalFormatting sqref="D28">
    <cfRule type="cellIs" dxfId="7" priority="1" stopIfTrue="1" operator="lessThan">
      <formula>65</formula>
    </cfRule>
  </conditionalFormatting>
  <conditionalFormatting sqref="E7 E12 E10 K11 B37:B49">
    <cfRule type="cellIs" dxfId="6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9">
    <pageSetUpPr fitToPage="1"/>
  </sheetPr>
  <dimension ref="A2:Q51"/>
  <sheetViews>
    <sheetView workbookViewId="0">
      <selection activeCell="E9" sqref="E9"/>
    </sheetView>
  </sheetViews>
  <sheetFormatPr defaultRowHeight="12.75" x14ac:dyDescent="0.2"/>
  <cols>
    <col min="1" max="1" width="12.140625" style="61" customWidth="1"/>
    <col min="2" max="3" width="9.140625" style="61"/>
    <col min="4" max="4" width="12.42578125" style="61" bestFit="1" customWidth="1"/>
    <col min="5" max="5" width="12" style="61" bestFit="1" customWidth="1"/>
    <col min="6" max="6" width="10.7109375" style="61" customWidth="1"/>
    <col min="7" max="7" width="12.42578125" style="61" bestFit="1" customWidth="1"/>
    <col min="8" max="9" width="9.42578125" style="61" customWidth="1"/>
    <col min="10" max="10" width="14.140625" style="61" bestFit="1" customWidth="1"/>
    <col min="11" max="11" width="5" style="61" bestFit="1" customWidth="1"/>
    <col min="12" max="12" width="14.85546875" style="61" bestFit="1" customWidth="1"/>
    <col min="13" max="13" width="3.7109375" style="61" bestFit="1" customWidth="1"/>
    <col min="14" max="14" width="8.85546875" style="61" bestFit="1" customWidth="1"/>
    <col min="15" max="15" width="3.7109375" style="61" bestFit="1" customWidth="1"/>
    <col min="16" max="16" width="7.42578125" style="61" bestFit="1" customWidth="1"/>
    <col min="17" max="17" width="3.7109375" style="61" bestFit="1" customWidth="1"/>
    <col min="18" max="18" width="6.85546875" style="61" bestFit="1" customWidth="1"/>
    <col min="19" max="16384" width="9.140625" style="61"/>
  </cols>
  <sheetData>
    <row r="2" spans="1:17" ht="15.75" x14ac:dyDescent="0.25">
      <c r="A2" s="80" t="s">
        <v>0</v>
      </c>
    </row>
    <row r="6" spans="1:17" x14ac:dyDescent="0.2">
      <c r="A6" s="79" t="s">
        <v>85</v>
      </c>
    </row>
    <row r="7" spans="1:17" x14ac:dyDescent="0.2">
      <c r="A7" s="68" t="s">
        <v>4</v>
      </c>
      <c r="E7" s="65">
        <f>Parameters!AF7</f>
        <v>0</v>
      </c>
      <c r="F7" s="69" t="s">
        <v>86</v>
      </c>
    </row>
    <row r="8" spans="1:17" x14ac:dyDescent="0.2">
      <c r="A8" s="68" t="s">
        <v>5</v>
      </c>
      <c r="E8" s="69">
        <f>total!F18</f>
        <v>1025</v>
      </c>
      <c r="F8" s="69" t="s">
        <v>11</v>
      </c>
      <c r="Q8" s="78"/>
    </row>
    <row r="9" spans="1:17" x14ac:dyDescent="0.2">
      <c r="A9" s="68" t="s">
        <v>9</v>
      </c>
      <c r="E9" s="69">
        <f>total!F17</f>
        <v>1</v>
      </c>
      <c r="F9" s="69" t="s">
        <v>73</v>
      </c>
    </row>
    <row r="10" spans="1:17" x14ac:dyDescent="0.2">
      <c r="A10" s="68" t="s">
        <v>6</v>
      </c>
      <c r="E10" s="65">
        <f>Parameters!AF8</f>
        <v>0</v>
      </c>
      <c r="F10" s="69" t="s">
        <v>12</v>
      </c>
    </row>
    <row r="11" spans="1:17" x14ac:dyDescent="0.2">
      <c r="A11" s="68" t="s">
        <v>7</v>
      </c>
      <c r="E11" s="69">
        <f>VLOOKUP(H11,'pipe dimensions'!A1:D21,K11+1)</f>
        <v>40</v>
      </c>
      <c r="F11" s="69" t="s">
        <v>13</v>
      </c>
      <c r="G11" s="78" t="s">
        <v>68</v>
      </c>
      <c r="H11" s="78">
        <v>40</v>
      </c>
      <c r="J11" s="61" t="s">
        <v>72</v>
      </c>
      <c r="K11" s="65">
        <f>Parameters!AF10</f>
        <v>0</v>
      </c>
      <c r="L11" s="61" t="s">
        <v>74</v>
      </c>
    </row>
    <row r="12" spans="1:17" x14ac:dyDescent="0.2">
      <c r="A12" s="68" t="s">
        <v>14</v>
      </c>
      <c r="E12" s="65">
        <f>Parameters!AF9</f>
        <v>0</v>
      </c>
      <c r="F12" s="69"/>
      <c r="G12" s="78" t="s">
        <v>24</v>
      </c>
      <c r="H12" s="78">
        <v>0.15</v>
      </c>
      <c r="I12" s="61" t="s">
        <v>13</v>
      </c>
      <c r="J12" s="78" t="s">
        <v>25</v>
      </c>
      <c r="K12" s="78">
        <v>0.02</v>
      </c>
      <c r="L12" s="61" t="s">
        <v>13</v>
      </c>
    </row>
    <row r="13" spans="1:17" x14ac:dyDescent="0.2">
      <c r="A13" s="68" t="s">
        <v>8</v>
      </c>
      <c r="E13" s="69">
        <f>IF(E10&gt;0,D51,0)</f>
        <v>0</v>
      </c>
      <c r="F13" s="69"/>
    </row>
    <row r="15" spans="1:17" x14ac:dyDescent="0.2">
      <c r="A15" s="68" t="s">
        <v>1</v>
      </c>
      <c r="H15" s="69"/>
    </row>
    <row r="16" spans="1:17" x14ac:dyDescent="0.2">
      <c r="A16" s="67" t="s">
        <v>3</v>
      </c>
      <c r="D16" s="68" t="s">
        <v>75</v>
      </c>
      <c r="H16" s="74">
        <f>E7/3600/(0.785*(0.001*E11)*(0.001*E11))</f>
        <v>0</v>
      </c>
      <c r="I16" s="69" t="s">
        <v>2</v>
      </c>
    </row>
    <row r="17" spans="1:12" x14ac:dyDescent="0.2">
      <c r="A17" s="67" t="s">
        <v>10</v>
      </c>
      <c r="D17" s="68" t="s">
        <v>76</v>
      </c>
      <c r="H17" s="74">
        <f>H16*0.001*E11/E9*1000000</f>
        <v>0</v>
      </c>
      <c r="I17" s="77">
        <f>H17</f>
        <v>0</v>
      </c>
    </row>
    <row r="18" spans="1:12" x14ac:dyDescent="0.2">
      <c r="A18" s="67" t="s">
        <v>32</v>
      </c>
      <c r="D18" s="68"/>
      <c r="H18" s="76">
        <f>H12/E11</f>
        <v>3.7499999999999999E-3</v>
      </c>
      <c r="I18" s="69"/>
    </row>
    <row r="19" spans="1:12" x14ac:dyDescent="0.2">
      <c r="A19" s="67" t="s">
        <v>26</v>
      </c>
      <c r="D19" s="68"/>
      <c r="H19" s="74">
        <f>H17*H12/E11</f>
        <v>0</v>
      </c>
      <c r="I19" s="69"/>
    </row>
    <row r="20" spans="1:12" x14ac:dyDescent="0.2">
      <c r="A20" s="67"/>
      <c r="D20" s="68"/>
      <c r="H20" s="74"/>
      <c r="I20" s="69"/>
    </row>
    <row r="21" spans="1:12" x14ac:dyDescent="0.2">
      <c r="A21" s="67" t="s">
        <v>78</v>
      </c>
      <c r="D21" s="61" t="s">
        <v>77</v>
      </c>
      <c r="H21" s="76">
        <f>IF((E7&gt;0),64/H17,0)</f>
        <v>0</v>
      </c>
      <c r="I21" s="69"/>
    </row>
    <row r="22" spans="1:12" x14ac:dyDescent="0.2">
      <c r="A22" s="67" t="s">
        <v>80</v>
      </c>
      <c r="D22" s="61" t="s">
        <v>79</v>
      </c>
      <c r="H22" s="76">
        <f>IF((E7&gt;0),(0.0055*(1+(20000*IF(E12&gt;1,K12/1000,H12/1000)/(0.001*E11)+1000000/H17)^0.333333)),0)</f>
        <v>0</v>
      </c>
      <c r="I22" s="69"/>
    </row>
    <row r="23" spans="1:12" x14ac:dyDescent="0.2">
      <c r="A23" s="61" t="s">
        <v>82</v>
      </c>
      <c r="D23" s="61" t="s">
        <v>81</v>
      </c>
      <c r="H23" s="75">
        <f>((IF(H17&gt;2320,H22,H21))*E10/(0.001*E11)+E13)*E8*H16*H16/(2*100000)</f>
        <v>0</v>
      </c>
      <c r="I23" s="69" t="s">
        <v>52</v>
      </c>
      <c r="J23" s="61" t="s">
        <v>19</v>
      </c>
    </row>
    <row r="24" spans="1:12" x14ac:dyDescent="0.2">
      <c r="H24" s="74">
        <f>+H23*100/(9.81)</f>
        <v>0</v>
      </c>
      <c r="I24" s="69" t="s">
        <v>15</v>
      </c>
      <c r="J24" s="61" t="s">
        <v>20</v>
      </c>
    </row>
    <row r="25" spans="1:12" x14ac:dyDescent="0.2">
      <c r="H25" s="69" t="s">
        <v>16</v>
      </c>
      <c r="I25" s="69"/>
    </row>
    <row r="26" spans="1:12" s="73" customFormat="1" hidden="1" x14ac:dyDescent="0.2"/>
    <row r="27" spans="1:12" hidden="1" x14ac:dyDescent="0.2"/>
    <row r="28" spans="1:12" hidden="1" x14ac:dyDescent="0.2">
      <c r="A28" s="61" t="s">
        <v>41</v>
      </c>
      <c r="D28" s="61" t="s">
        <v>18</v>
      </c>
      <c r="H28" s="61" t="s">
        <v>21</v>
      </c>
      <c r="L28" s="61" t="s">
        <v>23</v>
      </c>
    </row>
    <row r="29" spans="1:12" hidden="1" x14ac:dyDescent="0.2">
      <c r="D29" s="72" t="s">
        <v>22</v>
      </c>
      <c r="F29" s="61" t="s">
        <v>42</v>
      </c>
      <c r="H29" s="71" t="s">
        <v>35</v>
      </c>
      <c r="L29" s="70" t="s">
        <v>36</v>
      </c>
    </row>
    <row r="30" spans="1:12" hidden="1" x14ac:dyDescent="0.2">
      <c r="B30" s="61" t="s">
        <v>28</v>
      </c>
    </row>
    <row r="31" spans="1:12" hidden="1" x14ac:dyDescent="0.2">
      <c r="C31" s="61" t="s">
        <v>27</v>
      </c>
      <c r="D31" s="69" t="e">
        <f>0.3164*H17^-0.25</f>
        <v>#DIV/0!</v>
      </c>
      <c r="E31" s="61" t="s">
        <v>39</v>
      </c>
      <c r="F31" s="61" t="s">
        <v>43</v>
      </c>
      <c r="G31" s="61" t="s">
        <v>30</v>
      </c>
      <c r="H31" s="61">
        <f>(1/(2*LOG10((E11/H12))+1.14))^2</f>
        <v>2.785258162722809E-2</v>
      </c>
      <c r="I31" s="61" t="s">
        <v>37</v>
      </c>
      <c r="K31" s="61" t="s">
        <v>34</v>
      </c>
      <c r="L31" s="61" t="e">
        <f>1/(-2*LOG10(H12/(3.72*E11)+2.51/H17*((H17*E11/H12)^0.0625)*(1/0.48)))^2</f>
        <v>#DIV/0!</v>
      </c>
    </row>
    <row r="32" spans="1:12" hidden="1" x14ac:dyDescent="0.2">
      <c r="C32" s="61" t="s">
        <v>29</v>
      </c>
      <c r="D32" s="61" t="e">
        <f>0.0032+0.221*H17^-0.237</f>
        <v>#DIV/0!</v>
      </c>
      <c r="E32" s="61" t="s">
        <v>37</v>
      </c>
      <c r="F32" s="61" t="s">
        <v>44</v>
      </c>
      <c r="G32" s="61" t="s">
        <v>31</v>
      </c>
      <c r="H32" s="61">
        <f>0.0055+0.15*(H12/E11)^(1/3)</f>
        <v>2.880424379465394E-2</v>
      </c>
      <c r="I32" s="61" t="s">
        <v>38</v>
      </c>
    </row>
    <row r="33" spans="1:12" hidden="1" x14ac:dyDescent="0.2">
      <c r="C33" s="61" t="s">
        <v>33</v>
      </c>
      <c r="D33" s="61" t="e">
        <f>0.0054+0.3964/H17^0.3</f>
        <v>#DIV/0!</v>
      </c>
      <c r="E33" s="61" t="s">
        <v>40</v>
      </c>
      <c r="F33" s="61" t="s">
        <v>45</v>
      </c>
    </row>
    <row r="34" spans="1:12" hidden="1" x14ac:dyDescent="0.2"/>
    <row r="36" spans="1:12" x14ac:dyDescent="0.2">
      <c r="A36" s="68" t="s">
        <v>47</v>
      </c>
      <c r="B36" s="61" t="s">
        <v>49</v>
      </c>
      <c r="C36" s="61" t="s">
        <v>48</v>
      </c>
      <c r="D36" s="61" t="s">
        <v>50</v>
      </c>
      <c r="F36" s="61" t="s">
        <v>58</v>
      </c>
    </row>
    <row r="37" spans="1:12" x14ac:dyDescent="0.2">
      <c r="A37" s="67" t="s">
        <v>53</v>
      </c>
      <c r="B37" s="65">
        <f>Parameters!AF11</f>
        <v>0</v>
      </c>
      <c r="C37" s="62">
        <v>5</v>
      </c>
      <c r="D37" s="62">
        <f t="shared" ref="D37:D49" si="0">B37*C37</f>
        <v>0</v>
      </c>
    </row>
    <row r="38" spans="1:12" x14ac:dyDescent="0.2">
      <c r="A38" s="67" t="s">
        <v>54</v>
      </c>
      <c r="B38" s="65">
        <f>Parameters!AF12</f>
        <v>0</v>
      </c>
      <c r="C38" s="62">
        <v>0.5</v>
      </c>
      <c r="D38" s="62">
        <f t="shared" si="0"/>
        <v>0</v>
      </c>
      <c r="I38" s="63"/>
    </row>
    <row r="39" spans="1:12" x14ac:dyDescent="0.2">
      <c r="A39" s="67" t="s">
        <v>62</v>
      </c>
      <c r="B39" s="65">
        <f>Parameters!AF13</f>
        <v>0</v>
      </c>
      <c r="C39" s="62">
        <v>4</v>
      </c>
      <c r="D39" s="62">
        <f t="shared" si="0"/>
        <v>0</v>
      </c>
      <c r="I39" s="63"/>
    </row>
    <row r="40" spans="1:12" x14ac:dyDescent="0.2">
      <c r="A40" s="61" t="s">
        <v>94</v>
      </c>
      <c r="B40" s="65">
        <f>Parameters!AF14</f>
        <v>0</v>
      </c>
      <c r="C40" s="62">
        <v>5</v>
      </c>
      <c r="D40" s="62">
        <f t="shared" si="0"/>
        <v>0</v>
      </c>
      <c r="I40" s="63"/>
    </row>
    <row r="41" spans="1:12" x14ac:dyDescent="0.2">
      <c r="A41" s="66" t="s">
        <v>95</v>
      </c>
      <c r="B41" s="65">
        <f>Parameters!AF15</f>
        <v>0</v>
      </c>
      <c r="C41" s="62">
        <v>0.5</v>
      </c>
      <c r="D41" s="62">
        <f t="shared" si="0"/>
        <v>0</v>
      </c>
      <c r="I41" s="63"/>
    </row>
    <row r="42" spans="1:12" x14ac:dyDescent="0.2">
      <c r="A42" s="61" t="s">
        <v>63</v>
      </c>
      <c r="B42" s="65">
        <f>Parameters!AF16</f>
        <v>0</v>
      </c>
      <c r="C42" s="62">
        <v>0.5</v>
      </c>
      <c r="D42" s="62">
        <f t="shared" si="0"/>
        <v>0</v>
      </c>
      <c r="L42" s="63"/>
    </row>
    <row r="43" spans="1:12" x14ac:dyDescent="0.2">
      <c r="A43" s="61" t="s">
        <v>64</v>
      </c>
      <c r="B43" s="65">
        <f>Parameters!AF17</f>
        <v>0</v>
      </c>
      <c r="C43" s="62">
        <v>1</v>
      </c>
      <c r="D43" s="62">
        <f t="shared" si="0"/>
        <v>0</v>
      </c>
      <c r="L43" s="63"/>
    </row>
    <row r="44" spans="1:12" x14ac:dyDescent="0.2">
      <c r="A44" s="61" t="s">
        <v>51</v>
      </c>
      <c r="B44" s="65">
        <f>Parameters!AF18</f>
        <v>0</v>
      </c>
      <c r="C44" s="62">
        <f>IF(H17&gt;2300,0.35,3.5)</f>
        <v>3.5</v>
      </c>
      <c r="D44" s="62">
        <f t="shared" si="0"/>
        <v>0</v>
      </c>
      <c r="F44" s="61" t="s">
        <v>89</v>
      </c>
      <c r="L44" s="63"/>
    </row>
    <row r="45" spans="1:12" x14ac:dyDescent="0.2">
      <c r="A45" s="61" t="s">
        <v>59</v>
      </c>
      <c r="B45" s="65">
        <f>Parameters!AF19</f>
        <v>0</v>
      </c>
      <c r="C45" s="62">
        <v>1</v>
      </c>
      <c r="D45" s="62">
        <f t="shared" si="0"/>
        <v>0</v>
      </c>
      <c r="I45" s="63"/>
    </row>
    <row r="46" spans="1:12" x14ac:dyDescent="0.2">
      <c r="A46" s="61" t="s">
        <v>60</v>
      </c>
      <c r="B46" s="65">
        <f>Parameters!AF20</f>
        <v>0</v>
      </c>
      <c r="C46" s="62">
        <v>0.1</v>
      </c>
      <c r="D46" s="62">
        <f t="shared" si="0"/>
        <v>0</v>
      </c>
      <c r="I46" s="63"/>
    </row>
    <row r="47" spans="1:12" x14ac:dyDescent="0.2">
      <c r="A47" s="61" t="s">
        <v>56</v>
      </c>
      <c r="B47" s="65">
        <f>Parameters!AF21</f>
        <v>0</v>
      </c>
      <c r="C47" s="62">
        <v>1</v>
      </c>
      <c r="D47" s="62">
        <f t="shared" si="0"/>
        <v>0</v>
      </c>
      <c r="I47" s="63"/>
    </row>
    <row r="48" spans="1:12" x14ac:dyDescent="0.2">
      <c r="A48" s="61" t="s">
        <v>57</v>
      </c>
      <c r="B48" s="65">
        <f>Parameters!AF22</f>
        <v>0</v>
      </c>
      <c r="C48" s="62">
        <v>6</v>
      </c>
      <c r="D48" s="62">
        <f t="shared" si="0"/>
        <v>0</v>
      </c>
      <c r="I48" s="63"/>
    </row>
    <row r="49" spans="1:9" x14ac:dyDescent="0.2">
      <c r="A49" s="61" t="s">
        <v>61</v>
      </c>
      <c r="B49" s="65">
        <f>Parameters!AF23</f>
        <v>0</v>
      </c>
      <c r="C49" s="62">
        <v>0.2</v>
      </c>
      <c r="D49" s="62">
        <f t="shared" si="0"/>
        <v>0</v>
      </c>
      <c r="I49" s="63"/>
    </row>
    <row r="50" spans="1:9" x14ac:dyDescent="0.2">
      <c r="B50" s="64"/>
      <c r="C50" s="62"/>
      <c r="D50" s="62"/>
      <c r="I50" s="63"/>
    </row>
    <row r="51" spans="1:9" x14ac:dyDescent="0.2">
      <c r="A51" s="61" t="s">
        <v>46</v>
      </c>
      <c r="B51" s="62"/>
      <c r="C51" s="62"/>
      <c r="D51" s="62">
        <f>SUM(D37:D50)</f>
        <v>0</v>
      </c>
    </row>
  </sheetData>
  <conditionalFormatting sqref="D28">
    <cfRule type="cellIs" dxfId="5" priority="1" stopIfTrue="1" operator="lessThan">
      <formula>65</formula>
    </cfRule>
  </conditionalFormatting>
  <conditionalFormatting sqref="E7 E12 E10 K11 B37:B49">
    <cfRule type="cellIs" dxfId="4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0">
    <pageSetUpPr fitToPage="1"/>
  </sheetPr>
  <dimension ref="A2:Q51"/>
  <sheetViews>
    <sheetView topLeftCell="A4" workbookViewId="0">
      <selection activeCell="E9" sqref="E9"/>
    </sheetView>
  </sheetViews>
  <sheetFormatPr defaultRowHeight="12.75" x14ac:dyDescent="0.2"/>
  <cols>
    <col min="1" max="1" width="12.140625" style="61" customWidth="1"/>
    <col min="2" max="3" width="9.140625" style="61"/>
    <col min="4" max="4" width="12.42578125" style="61" bestFit="1" customWidth="1"/>
    <col min="5" max="5" width="12" style="61" bestFit="1" customWidth="1"/>
    <col min="6" max="6" width="10.7109375" style="61" customWidth="1"/>
    <col min="7" max="7" width="12.42578125" style="61" bestFit="1" customWidth="1"/>
    <col min="8" max="9" width="9.42578125" style="61" customWidth="1"/>
    <col min="10" max="10" width="14.140625" style="61" bestFit="1" customWidth="1"/>
    <col min="11" max="11" width="5" style="61" bestFit="1" customWidth="1"/>
    <col min="12" max="12" width="14.85546875" style="61" bestFit="1" customWidth="1"/>
    <col min="13" max="13" width="3.7109375" style="61" bestFit="1" customWidth="1"/>
    <col min="14" max="14" width="8.85546875" style="61" bestFit="1" customWidth="1"/>
    <col min="15" max="15" width="3.7109375" style="61" bestFit="1" customWidth="1"/>
    <col min="16" max="16" width="7.42578125" style="61" bestFit="1" customWidth="1"/>
    <col min="17" max="17" width="3.7109375" style="61" bestFit="1" customWidth="1"/>
    <col min="18" max="18" width="6.85546875" style="61" bestFit="1" customWidth="1"/>
    <col min="19" max="16384" width="9.140625" style="61"/>
  </cols>
  <sheetData>
    <row r="2" spans="1:17" ht="15.75" x14ac:dyDescent="0.25">
      <c r="A2" s="80" t="s">
        <v>0</v>
      </c>
    </row>
    <row r="6" spans="1:17" x14ac:dyDescent="0.2">
      <c r="A6" s="79" t="s">
        <v>85</v>
      </c>
    </row>
    <row r="7" spans="1:17" x14ac:dyDescent="0.2">
      <c r="A7" s="68" t="s">
        <v>4</v>
      </c>
      <c r="E7" s="65">
        <f>Parameters!AG7</f>
        <v>0</v>
      </c>
      <c r="F7" s="69" t="s">
        <v>86</v>
      </c>
    </row>
    <row r="8" spans="1:17" x14ac:dyDescent="0.2">
      <c r="A8" s="68" t="s">
        <v>5</v>
      </c>
      <c r="E8" s="69">
        <f>total!F18</f>
        <v>1025</v>
      </c>
      <c r="F8" s="69" t="s">
        <v>11</v>
      </c>
      <c r="Q8" s="78"/>
    </row>
    <row r="9" spans="1:17" x14ac:dyDescent="0.2">
      <c r="A9" s="68" t="s">
        <v>9</v>
      </c>
      <c r="E9" s="69">
        <f>total!F17</f>
        <v>1</v>
      </c>
      <c r="F9" s="69" t="s">
        <v>73</v>
      </c>
    </row>
    <row r="10" spans="1:17" x14ac:dyDescent="0.2">
      <c r="A10" s="68" t="s">
        <v>6</v>
      </c>
      <c r="E10" s="65">
        <f>Parameters!AG8</f>
        <v>0</v>
      </c>
      <c r="F10" s="69" t="s">
        <v>12</v>
      </c>
    </row>
    <row r="11" spans="1:17" x14ac:dyDescent="0.2">
      <c r="A11" s="68" t="s">
        <v>7</v>
      </c>
      <c r="E11" s="69">
        <f>VLOOKUP(H11,'pipe dimensions'!A1:D21,K11+1)</f>
        <v>32</v>
      </c>
      <c r="F11" s="69" t="s">
        <v>13</v>
      </c>
      <c r="G11" s="78" t="s">
        <v>68</v>
      </c>
      <c r="H11" s="78">
        <v>32</v>
      </c>
      <c r="J11" s="61" t="s">
        <v>72</v>
      </c>
      <c r="K11" s="65">
        <f>Parameters!AG10</f>
        <v>0</v>
      </c>
      <c r="L11" s="61" t="s">
        <v>74</v>
      </c>
    </row>
    <row r="12" spans="1:17" x14ac:dyDescent="0.2">
      <c r="A12" s="68" t="s">
        <v>14</v>
      </c>
      <c r="E12" s="65">
        <f>Parameters!AG9</f>
        <v>0</v>
      </c>
      <c r="F12" s="69"/>
      <c r="G12" s="78" t="s">
        <v>24</v>
      </c>
      <c r="H12" s="78">
        <v>0.15</v>
      </c>
      <c r="I12" s="61" t="s">
        <v>13</v>
      </c>
      <c r="J12" s="78" t="s">
        <v>25</v>
      </c>
      <c r="K12" s="78">
        <v>0.02</v>
      </c>
      <c r="L12" s="61" t="s">
        <v>13</v>
      </c>
    </row>
    <row r="13" spans="1:17" x14ac:dyDescent="0.2">
      <c r="A13" s="68" t="s">
        <v>8</v>
      </c>
      <c r="E13" s="69">
        <f>IF(E10&gt;0,D51,0)</f>
        <v>0</v>
      </c>
      <c r="F13" s="69"/>
    </row>
    <row r="15" spans="1:17" x14ac:dyDescent="0.2">
      <c r="A15" s="68" t="s">
        <v>1</v>
      </c>
      <c r="H15" s="69"/>
    </row>
    <row r="16" spans="1:17" x14ac:dyDescent="0.2">
      <c r="A16" s="67" t="s">
        <v>3</v>
      </c>
      <c r="D16" s="68" t="s">
        <v>75</v>
      </c>
      <c r="H16" s="74">
        <f>E7/3600/(0.785*(0.001*E11)*(0.001*E11))</f>
        <v>0</v>
      </c>
      <c r="I16" s="69" t="s">
        <v>2</v>
      </c>
    </row>
    <row r="17" spans="1:12" x14ac:dyDescent="0.2">
      <c r="A17" s="67" t="s">
        <v>10</v>
      </c>
      <c r="D17" s="68" t="s">
        <v>76</v>
      </c>
      <c r="H17" s="74">
        <f>H16*0.001*E11/E9*1000000</f>
        <v>0</v>
      </c>
      <c r="I17" s="77">
        <f>H17</f>
        <v>0</v>
      </c>
    </row>
    <row r="18" spans="1:12" x14ac:dyDescent="0.2">
      <c r="A18" s="67" t="s">
        <v>32</v>
      </c>
      <c r="D18" s="68"/>
      <c r="H18" s="76">
        <f>H12/E11</f>
        <v>4.6874999999999998E-3</v>
      </c>
      <c r="I18" s="69"/>
    </row>
    <row r="19" spans="1:12" x14ac:dyDescent="0.2">
      <c r="A19" s="67" t="s">
        <v>26</v>
      </c>
      <c r="D19" s="68"/>
      <c r="H19" s="74">
        <f>H17*H12/E11</f>
        <v>0</v>
      </c>
      <c r="I19" s="69"/>
    </row>
    <row r="20" spans="1:12" x14ac:dyDescent="0.2">
      <c r="A20" s="67"/>
      <c r="D20" s="68"/>
      <c r="H20" s="74"/>
      <c r="I20" s="69"/>
    </row>
    <row r="21" spans="1:12" x14ac:dyDescent="0.2">
      <c r="A21" s="67" t="s">
        <v>78</v>
      </c>
      <c r="D21" s="61" t="s">
        <v>77</v>
      </c>
      <c r="H21" s="76">
        <f>IF((E7&gt;0),64/H17,0)</f>
        <v>0</v>
      </c>
      <c r="I21" s="69"/>
    </row>
    <row r="22" spans="1:12" x14ac:dyDescent="0.2">
      <c r="A22" s="67" t="s">
        <v>80</v>
      </c>
      <c r="D22" s="61" t="s">
        <v>79</v>
      </c>
      <c r="H22" s="76">
        <f>IF((E7&gt;0),(0.0055*(1+(20000*IF(E12&gt;1,K12/1000,H12/1000)/(0.001*E11)+1000000/H17)^0.333333)),0)</f>
        <v>0</v>
      </c>
      <c r="I22" s="69"/>
    </row>
    <row r="23" spans="1:12" x14ac:dyDescent="0.2">
      <c r="A23" s="61" t="s">
        <v>82</v>
      </c>
      <c r="D23" s="61" t="s">
        <v>81</v>
      </c>
      <c r="H23" s="75">
        <f>((IF(H17&gt;2320,H22,H21))*E10/(0.001*E11)+E13)*E8*H16*H16/(2*100000)</f>
        <v>0</v>
      </c>
      <c r="I23" s="69" t="s">
        <v>52</v>
      </c>
      <c r="J23" s="61" t="s">
        <v>19</v>
      </c>
    </row>
    <row r="24" spans="1:12" x14ac:dyDescent="0.2">
      <c r="H24" s="74">
        <f>+H23*100/(9.81)</f>
        <v>0</v>
      </c>
      <c r="I24" s="69" t="s">
        <v>15</v>
      </c>
      <c r="J24" s="61" t="s">
        <v>20</v>
      </c>
    </row>
    <row r="25" spans="1:12" x14ac:dyDescent="0.2">
      <c r="H25" s="69" t="s">
        <v>16</v>
      </c>
      <c r="I25" s="69"/>
    </row>
    <row r="26" spans="1:12" s="73" customFormat="1" hidden="1" x14ac:dyDescent="0.2"/>
    <row r="27" spans="1:12" hidden="1" x14ac:dyDescent="0.2"/>
    <row r="28" spans="1:12" hidden="1" x14ac:dyDescent="0.2">
      <c r="A28" s="61" t="s">
        <v>41</v>
      </c>
      <c r="D28" s="61" t="s">
        <v>18</v>
      </c>
      <c r="H28" s="61" t="s">
        <v>21</v>
      </c>
      <c r="L28" s="61" t="s">
        <v>23</v>
      </c>
    </row>
    <row r="29" spans="1:12" hidden="1" x14ac:dyDescent="0.2">
      <c r="D29" s="72" t="s">
        <v>22</v>
      </c>
      <c r="F29" s="61" t="s">
        <v>42</v>
      </c>
      <c r="H29" s="71" t="s">
        <v>35</v>
      </c>
      <c r="L29" s="70" t="s">
        <v>36</v>
      </c>
    </row>
    <row r="30" spans="1:12" hidden="1" x14ac:dyDescent="0.2">
      <c r="B30" s="61" t="s">
        <v>28</v>
      </c>
    </row>
    <row r="31" spans="1:12" hidden="1" x14ac:dyDescent="0.2">
      <c r="C31" s="61" t="s">
        <v>27</v>
      </c>
      <c r="D31" s="69" t="e">
        <f>0.3164*H17^-0.25</f>
        <v>#DIV/0!</v>
      </c>
      <c r="E31" s="61" t="s">
        <v>39</v>
      </c>
      <c r="F31" s="61" t="s">
        <v>43</v>
      </c>
      <c r="G31" s="61" t="s">
        <v>30</v>
      </c>
      <c r="H31" s="61">
        <f>(1/(2*LOG10((E11/H12))+1.14))^2</f>
        <v>2.974582269086317E-2</v>
      </c>
      <c r="I31" s="61" t="s">
        <v>37</v>
      </c>
      <c r="K31" s="61" t="s">
        <v>34</v>
      </c>
      <c r="L31" s="61" t="e">
        <f>1/(-2*LOG10(H12/(3.72*E11)+2.51/H17*((H17*E11/H12)^0.0625)*(1/0.48)))^2</f>
        <v>#DIV/0!</v>
      </c>
    </row>
    <row r="32" spans="1:12" hidden="1" x14ac:dyDescent="0.2">
      <c r="C32" s="61" t="s">
        <v>29</v>
      </c>
      <c r="D32" s="61" t="e">
        <f>0.0032+0.221*H17^-0.237</f>
        <v>#DIV/0!</v>
      </c>
      <c r="E32" s="61" t="s">
        <v>37</v>
      </c>
      <c r="F32" s="61" t="s">
        <v>44</v>
      </c>
      <c r="G32" s="61" t="s">
        <v>31</v>
      </c>
      <c r="H32" s="61">
        <f>0.0055+0.15*(H12/E11)^(1/3)</f>
        <v>3.0603735628081351E-2</v>
      </c>
      <c r="I32" s="61" t="s">
        <v>38</v>
      </c>
    </row>
    <row r="33" spans="1:12" hidden="1" x14ac:dyDescent="0.2">
      <c r="C33" s="61" t="s">
        <v>33</v>
      </c>
      <c r="D33" s="61" t="e">
        <f>0.0054+0.3964/H17^0.3</f>
        <v>#DIV/0!</v>
      </c>
      <c r="E33" s="61" t="s">
        <v>40</v>
      </c>
      <c r="F33" s="61" t="s">
        <v>45</v>
      </c>
    </row>
    <row r="34" spans="1:12" hidden="1" x14ac:dyDescent="0.2"/>
    <row r="36" spans="1:12" x14ac:dyDescent="0.2">
      <c r="A36" s="68" t="s">
        <v>47</v>
      </c>
      <c r="B36" s="61" t="s">
        <v>49</v>
      </c>
      <c r="C36" s="61" t="s">
        <v>48</v>
      </c>
      <c r="D36" s="61" t="s">
        <v>50</v>
      </c>
      <c r="F36" s="61" t="s">
        <v>58</v>
      </c>
    </row>
    <row r="37" spans="1:12" x14ac:dyDescent="0.2">
      <c r="A37" s="67" t="s">
        <v>53</v>
      </c>
      <c r="B37" s="65">
        <f>Parameters!AG11</f>
        <v>0</v>
      </c>
      <c r="C37" s="62">
        <v>5</v>
      </c>
      <c r="D37" s="62">
        <f t="shared" ref="D37:D49" si="0">B37*C37</f>
        <v>0</v>
      </c>
    </row>
    <row r="38" spans="1:12" x14ac:dyDescent="0.2">
      <c r="A38" s="67" t="s">
        <v>54</v>
      </c>
      <c r="B38" s="65">
        <f>Parameters!AG12</f>
        <v>0</v>
      </c>
      <c r="C38" s="62">
        <v>0.5</v>
      </c>
      <c r="D38" s="62">
        <f t="shared" si="0"/>
        <v>0</v>
      </c>
      <c r="I38" s="63"/>
    </row>
    <row r="39" spans="1:12" x14ac:dyDescent="0.2">
      <c r="A39" s="67" t="s">
        <v>62</v>
      </c>
      <c r="B39" s="65">
        <f>Parameters!AG13</f>
        <v>0</v>
      </c>
      <c r="C39" s="62">
        <v>4</v>
      </c>
      <c r="D39" s="62">
        <f t="shared" si="0"/>
        <v>0</v>
      </c>
      <c r="I39" s="63"/>
    </row>
    <row r="40" spans="1:12" x14ac:dyDescent="0.2">
      <c r="A40" s="61" t="s">
        <v>94</v>
      </c>
      <c r="B40" s="65">
        <f>Parameters!AG14</f>
        <v>0</v>
      </c>
      <c r="C40" s="62">
        <v>5</v>
      </c>
      <c r="D40" s="62">
        <f t="shared" si="0"/>
        <v>0</v>
      </c>
      <c r="I40" s="63"/>
    </row>
    <row r="41" spans="1:12" x14ac:dyDescent="0.2">
      <c r="A41" s="66" t="s">
        <v>95</v>
      </c>
      <c r="B41" s="65">
        <f>Parameters!AG15</f>
        <v>0</v>
      </c>
      <c r="C41" s="62">
        <v>0.5</v>
      </c>
      <c r="D41" s="62">
        <f t="shared" si="0"/>
        <v>0</v>
      </c>
      <c r="I41" s="63"/>
    </row>
    <row r="42" spans="1:12" x14ac:dyDescent="0.2">
      <c r="A42" s="61" t="s">
        <v>63</v>
      </c>
      <c r="B42" s="65">
        <f>Parameters!AG16</f>
        <v>0</v>
      </c>
      <c r="C42" s="62">
        <v>0.5</v>
      </c>
      <c r="D42" s="62">
        <f t="shared" si="0"/>
        <v>0</v>
      </c>
      <c r="L42" s="63"/>
    </row>
    <row r="43" spans="1:12" x14ac:dyDescent="0.2">
      <c r="A43" s="61" t="s">
        <v>64</v>
      </c>
      <c r="B43" s="65">
        <f>Parameters!AG17</f>
        <v>0</v>
      </c>
      <c r="C43" s="62">
        <v>1</v>
      </c>
      <c r="D43" s="62">
        <f t="shared" si="0"/>
        <v>0</v>
      </c>
      <c r="L43" s="63"/>
    </row>
    <row r="44" spans="1:12" x14ac:dyDescent="0.2">
      <c r="A44" s="61" t="s">
        <v>51</v>
      </c>
      <c r="B44" s="65">
        <f>Parameters!AG18</f>
        <v>0</v>
      </c>
      <c r="C44" s="62">
        <f>IF(H17&gt;2300,0.35,3.5)</f>
        <v>3.5</v>
      </c>
      <c r="D44" s="62">
        <f t="shared" si="0"/>
        <v>0</v>
      </c>
      <c r="F44" s="61" t="s">
        <v>89</v>
      </c>
      <c r="L44" s="63"/>
    </row>
    <row r="45" spans="1:12" x14ac:dyDescent="0.2">
      <c r="A45" s="61" t="s">
        <v>59</v>
      </c>
      <c r="B45" s="65">
        <f>Parameters!AG19</f>
        <v>0</v>
      </c>
      <c r="C45" s="62">
        <v>1</v>
      </c>
      <c r="D45" s="62">
        <f t="shared" si="0"/>
        <v>0</v>
      </c>
      <c r="I45" s="63"/>
    </row>
    <row r="46" spans="1:12" x14ac:dyDescent="0.2">
      <c r="A46" s="61" t="s">
        <v>60</v>
      </c>
      <c r="B46" s="65">
        <f>Parameters!AG20</f>
        <v>0</v>
      </c>
      <c r="C46" s="62">
        <v>0.1</v>
      </c>
      <c r="D46" s="62">
        <f t="shared" si="0"/>
        <v>0</v>
      </c>
      <c r="I46" s="63"/>
    </row>
    <row r="47" spans="1:12" x14ac:dyDescent="0.2">
      <c r="A47" s="61" t="s">
        <v>56</v>
      </c>
      <c r="B47" s="65">
        <f>Parameters!AG21</f>
        <v>0</v>
      </c>
      <c r="C47" s="62">
        <v>1</v>
      </c>
      <c r="D47" s="62">
        <f t="shared" si="0"/>
        <v>0</v>
      </c>
      <c r="I47" s="63"/>
    </row>
    <row r="48" spans="1:12" x14ac:dyDescent="0.2">
      <c r="A48" s="61" t="s">
        <v>57</v>
      </c>
      <c r="B48" s="65">
        <f>Parameters!AG22</f>
        <v>0</v>
      </c>
      <c r="C48" s="62">
        <v>6</v>
      </c>
      <c r="D48" s="62">
        <f t="shared" si="0"/>
        <v>0</v>
      </c>
      <c r="I48" s="63"/>
    </row>
    <row r="49" spans="1:9" x14ac:dyDescent="0.2">
      <c r="A49" s="61" t="s">
        <v>61</v>
      </c>
      <c r="B49" s="65">
        <f>Parameters!AG23</f>
        <v>0</v>
      </c>
      <c r="C49" s="62">
        <v>0.2</v>
      </c>
      <c r="D49" s="62">
        <f t="shared" si="0"/>
        <v>0</v>
      </c>
      <c r="I49" s="63"/>
    </row>
    <row r="50" spans="1:9" x14ac:dyDescent="0.2">
      <c r="B50" s="64"/>
      <c r="C50" s="62"/>
      <c r="D50" s="62"/>
      <c r="I50" s="63"/>
    </row>
    <row r="51" spans="1:9" x14ac:dyDescent="0.2">
      <c r="A51" s="61" t="s">
        <v>46</v>
      </c>
      <c r="B51" s="62"/>
      <c r="C51" s="62"/>
      <c r="D51" s="62">
        <f>SUM(D37:D50)</f>
        <v>0</v>
      </c>
    </row>
  </sheetData>
  <conditionalFormatting sqref="D28">
    <cfRule type="cellIs" dxfId="3" priority="1" stopIfTrue="1" operator="lessThan">
      <formula>65</formula>
    </cfRule>
  </conditionalFormatting>
  <conditionalFormatting sqref="E7 E12 E10 K11 B37:B49">
    <cfRule type="cellIs" dxfId="2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1">
    <pageSetUpPr fitToPage="1"/>
  </sheetPr>
  <dimension ref="A2:Q51"/>
  <sheetViews>
    <sheetView workbookViewId="0">
      <selection activeCell="E9" sqref="E9"/>
    </sheetView>
  </sheetViews>
  <sheetFormatPr defaultRowHeight="12.75" x14ac:dyDescent="0.2"/>
  <cols>
    <col min="1" max="1" width="12.140625" style="61" customWidth="1"/>
    <col min="2" max="3" width="9.140625" style="61"/>
    <col min="4" max="4" width="12.42578125" style="61" bestFit="1" customWidth="1"/>
    <col min="5" max="5" width="12" style="61" bestFit="1" customWidth="1"/>
    <col min="6" max="6" width="10.7109375" style="61" customWidth="1"/>
    <col min="7" max="7" width="12.42578125" style="61" bestFit="1" customWidth="1"/>
    <col min="8" max="9" width="9.42578125" style="61" customWidth="1"/>
    <col min="10" max="10" width="14.140625" style="61" bestFit="1" customWidth="1"/>
    <col min="11" max="11" width="5" style="61" bestFit="1" customWidth="1"/>
    <col min="12" max="12" width="14.85546875" style="61" bestFit="1" customWidth="1"/>
    <col min="13" max="13" width="3.7109375" style="61" bestFit="1" customWidth="1"/>
    <col min="14" max="14" width="8.85546875" style="61" bestFit="1" customWidth="1"/>
    <col min="15" max="15" width="3.7109375" style="61" bestFit="1" customWidth="1"/>
    <col min="16" max="16" width="7.42578125" style="61" bestFit="1" customWidth="1"/>
    <col min="17" max="17" width="3.7109375" style="61" bestFit="1" customWidth="1"/>
    <col min="18" max="18" width="6.85546875" style="61" bestFit="1" customWidth="1"/>
    <col min="19" max="16384" width="9.140625" style="61"/>
  </cols>
  <sheetData>
    <row r="2" spans="1:17" ht="15.75" x14ac:dyDescent="0.25">
      <c r="A2" s="80" t="s">
        <v>0</v>
      </c>
    </row>
    <row r="6" spans="1:17" x14ac:dyDescent="0.2">
      <c r="A6" s="79" t="s">
        <v>85</v>
      </c>
    </row>
    <row r="7" spans="1:17" x14ac:dyDescent="0.2">
      <c r="A7" s="68" t="s">
        <v>4</v>
      </c>
      <c r="E7" s="65">
        <f>Parameters!AH7</f>
        <v>0</v>
      </c>
      <c r="F7" s="69" t="s">
        <v>86</v>
      </c>
    </row>
    <row r="8" spans="1:17" x14ac:dyDescent="0.2">
      <c r="A8" s="68" t="s">
        <v>5</v>
      </c>
      <c r="E8" s="69">
        <f>total!F18</f>
        <v>1025</v>
      </c>
      <c r="F8" s="69" t="s">
        <v>11</v>
      </c>
      <c r="Q8" s="78"/>
    </row>
    <row r="9" spans="1:17" x14ac:dyDescent="0.2">
      <c r="A9" s="68" t="s">
        <v>9</v>
      </c>
      <c r="E9" s="69">
        <f>total!F17</f>
        <v>1</v>
      </c>
      <c r="F9" s="69" t="s">
        <v>73</v>
      </c>
    </row>
    <row r="10" spans="1:17" x14ac:dyDescent="0.2">
      <c r="A10" s="68" t="s">
        <v>6</v>
      </c>
      <c r="E10" s="65">
        <f>Parameters!AH8</f>
        <v>0</v>
      </c>
      <c r="F10" s="69" t="s">
        <v>12</v>
      </c>
    </row>
    <row r="11" spans="1:17" x14ac:dyDescent="0.2">
      <c r="A11" s="68" t="s">
        <v>7</v>
      </c>
      <c r="E11" s="69">
        <f>VLOOKUP(H11,'pipe dimensions'!A1:D21,K11+1)</f>
        <v>25</v>
      </c>
      <c r="F11" s="69" t="s">
        <v>13</v>
      </c>
      <c r="G11" s="78" t="s">
        <v>68</v>
      </c>
      <c r="H11" s="78">
        <v>25</v>
      </c>
      <c r="J11" s="61" t="s">
        <v>72</v>
      </c>
      <c r="K11" s="65">
        <f>Parameters!AH10</f>
        <v>0</v>
      </c>
      <c r="L11" s="61" t="s">
        <v>74</v>
      </c>
    </row>
    <row r="12" spans="1:17" x14ac:dyDescent="0.2">
      <c r="A12" s="68" t="s">
        <v>14</v>
      </c>
      <c r="E12" s="65">
        <f>Parameters!AH9</f>
        <v>0</v>
      </c>
      <c r="F12" s="69"/>
      <c r="G12" s="78" t="s">
        <v>24</v>
      </c>
      <c r="H12" s="78">
        <v>0.15</v>
      </c>
      <c r="I12" s="61" t="s">
        <v>13</v>
      </c>
      <c r="J12" s="78" t="s">
        <v>25</v>
      </c>
      <c r="K12" s="78">
        <v>0.02</v>
      </c>
      <c r="L12" s="61" t="s">
        <v>13</v>
      </c>
    </row>
    <row r="13" spans="1:17" x14ac:dyDescent="0.2">
      <c r="A13" s="68" t="s">
        <v>8</v>
      </c>
      <c r="E13" s="69">
        <f>IF(E10&gt;0,D51,0)</f>
        <v>0</v>
      </c>
      <c r="F13" s="69"/>
    </row>
    <row r="15" spans="1:17" x14ac:dyDescent="0.2">
      <c r="A15" s="68" t="s">
        <v>1</v>
      </c>
      <c r="H15" s="69"/>
    </row>
    <row r="16" spans="1:17" x14ac:dyDescent="0.2">
      <c r="A16" s="67" t="s">
        <v>3</v>
      </c>
      <c r="D16" s="68" t="s">
        <v>75</v>
      </c>
      <c r="H16" s="74">
        <f>E7/3600/(0.785*(0.001*E11)*(0.001*E11))</f>
        <v>0</v>
      </c>
      <c r="I16" s="69" t="s">
        <v>2</v>
      </c>
    </row>
    <row r="17" spans="1:12" x14ac:dyDescent="0.2">
      <c r="A17" s="67" t="s">
        <v>10</v>
      </c>
      <c r="D17" s="68" t="s">
        <v>76</v>
      </c>
      <c r="H17" s="74">
        <f>H16*0.001*E11/E9*1000000</f>
        <v>0</v>
      </c>
      <c r="I17" s="77">
        <f>H17</f>
        <v>0</v>
      </c>
    </row>
    <row r="18" spans="1:12" x14ac:dyDescent="0.2">
      <c r="A18" s="67" t="s">
        <v>32</v>
      </c>
      <c r="D18" s="68"/>
      <c r="H18" s="76">
        <f>H12/E11</f>
        <v>6.0000000000000001E-3</v>
      </c>
      <c r="I18" s="69"/>
    </row>
    <row r="19" spans="1:12" x14ac:dyDescent="0.2">
      <c r="A19" s="67" t="s">
        <v>26</v>
      </c>
      <c r="D19" s="68"/>
      <c r="H19" s="74">
        <f>H17*H12/E11</f>
        <v>0</v>
      </c>
      <c r="I19" s="69"/>
    </row>
    <row r="20" spans="1:12" x14ac:dyDescent="0.2">
      <c r="A20" s="67"/>
      <c r="D20" s="68"/>
      <c r="H20" s="74"/>
      <c r="I20" s="69"/>
    </row>
    <row r="21" spans="1:12" x14ac:dyDescent="0.2">
      <c r="A21" s="67" t="s">
        <v>78</v>
      </c>
      <c r="D21" s="61" t="s">
        <v>77</v>
      </c>
      <c r="H21" s="76">
        <f>IF((E7&gt;0),64/H17,0)</f>
        <v>0</v>
      </c>
      <c r="I21" s="69"/>
    </row>
    <row r="22" spans="1:12" x14ac:dyDescent="0.2">
      <c r="A22" s="67" t="s">
        <v>80</v>
      </c>
      <c r="D22" s="61" t="s">
        <v>79</v>
      </c>
      <c r="H22" s="76">
        <f>IF((E7&gt;0),(0.0055*(1+(20000*IF(E12&gt;1,K12/1000,H12/1000)/(0.001*E11)+1000000/H17)^0.333333)),0)</f>
        <v>0</v>
      </c>
      <c r="I22" s="69"/>
    </row>
    <row r="23" spans="1:12" x14ac:dyDescent="0.2">
      <c r="A23" s="61" t="s">
        <v>82</v>
      </c>
      <c r="D23" s="61" t="s">
        <v>81</v>
      </c>
      <c r="H23" s="75">
        <f>((IF(H17&gt;2320,H22,H21))*E10/(0.001*E11)+E13)*E8*H16*H16/(2*100000)</f>
        <v>0</v>
      </c>
      <c r="I23" s="69" t="s">
        <v>52</v>
      </c>
      <c r="J23" s="61" t="s">
        <v>19</v>
      </c>
    </row>
    <row r="24" spans="1:12" x14ac:dyDescent="0.2">
      <c r="H24" s="74">
        <f>+H23*100/(9.81)</f>
        <v>0</v>
      </c>
      <c r="I24" s="69" t="s">
        <v>15</v>
      </c>
      <c r="J24" s="61" t="s">
        <v>20</v>
      </c>
    </row>
    <row r="25" spans="1:12" x14ac:dyDescent="0.2">
      <c r="H25" s="69" t="s">
        <v>16</v>
      </c>
      <c r="I25" s="69"/>
    </row>
    <row r="26" spans="1:12" s="73" customFormat="1" hidden="1" x14ac:dyDescent="0.2"/>
    <row r="27" spans="1:12" hidden="1" x14ac:dyDescent="0.2"/>
    <row r="28" spans="1:12" hidden="1" x14ac:dyDescent="0.2">
      <c r="A28" s="61" t="s">
        <v>41</v>
      </c>
      <c r="D28" s="61" t="s">
        <v>18</v>
      </c>
      <c r="H28" s="61" t="s">
        <v>21</v>
      </c>
      <c r="L28" s="61" t="s">
        <v>23</v>
      </c>
    </row>
    <row r="29" spans="1:12" hidden="1" x14ac:dyDescent="0.2">
      <c r="D29" s="72" t="s">
        <v>22</v>
      </c>
      <c r="F29" s="61" t="s">
        <v>42</v>
      </c>
      <c r="H29" s="71" t="s">
        <v>35</v>
      </c>
      <c r="L29" s="70" t="s">
        <v>36</v>
      </c>
    </row>
    <row r="30" spans="1:12" hidden="1" x14ac:dyDescent="0.2">
      <c r="B30" s="61" t="s">
        <v>28</v>
      </c>
    </row>
    <row r="31" spans="1:12" hidden="1" x14ac:dyDescent="0.2">
      <c r="C31" s="61" t="s">
        <v>27</v>
      </c>
      <c r="D31" s="69" t="e">
        <f>0.3164*H17^-0.25</f>
        <v>#DIV/0!</v>
      </c>
      <c r="E31" s="61" t="s">
        <v>39</v>
      </c>
      <c r="F31" s="61" t="s">
        <v>43</v>
      </c>
      <c r="G31" s="61" t="s">
        <v>30</v>
      </c>
      <c r="H31" s="61">
        <f>(1/(2*LOG10((E11/H12))+1.14))^2</f>
        <v>3.2074229761549021E-2</v>
      </c>
      <c r="I31" s="61" t="s">
        <v>37</v>
      </c>
      <c r="K31" s="61" t="s">
        <v>34</v>
      </c>
      <c r="L31" s="61" t="e">
        <f>1/(-2*LOG10(H12/(3.72*E11)+2.51/H17*((H17*E11/H12)^0.0625)*(1/0.48)))^2</f>
        <v>#DIV/0!</v>
      </c>
    </row>
    <row r="32" spans="1:12" hidden="1" x14ac:dyDescent="0.2">
      <c r="C32" s="61" t="s">
        <v>29</v>
      </c>
      <c r="D32" s="61" t="e">
        <f>0.0032+0.221*H17^-0.237</f>
        <v>#DIV/0!</v>
      </c>
      <c r="E32" s="61" t="s">
        <v>37</v>
      </c>
      <c r="F32" s="61" t="s">
        <v>44</v>
      </c>
      <c r="G32" s="61" t="s">
        <v>31</v>
      </c>
      <c r="H32" s="61">
        <f>0.0055+0.15*(H12/E11)^(1/3)</f>
        <v>3.27568088924821E-2</v>
      </c>
      <c r="I32" s="61" t="s">
        <v>38</v>
      </c>
    </row>
    <row r="33" spans="1:12" hidden="1" x14ac:dyDescent="0.2">
      <c r="C33" s="61" t="s">
        <v>33</v>
      </c>
      <c r="D33" s="61" t="e">
        <f>0.0054+0.3964/H17^0.3</f>
        <v>#DIV/0!</v>
      </c>
      <c r="E33" s="61" t="s">
        <v>40</v>
      </c>
      <c r="F33" s="61" t="s">
        <v>45</v>
      </c>
    </row>
    <row r="34" spans="1:12" hidden="1" x14ac:dyDescent="0.2"/>
    <row r="36" spans="1:12" x14ac:dyDescent="0.2">
      <c r="A36" s="68" t="s">
        <v>47</v>
      </c>
      <c r="B36" s="61" t="s">
        <v>49</v>
      </c>
      <c r="C36" s="61" t="s">
        <v>48</v>
      </c>
      <c r="D36" s="61" t="s">
        <v>50</v>
      </c>
      <c r="F36" s="61" t="s">
        <v>58</v>
      </c>
    </row>
    <row r="37" spans="1:12" x14ac:dyDescent="0.2">
      <c r="A37" s="67" t="s">
        <v>53</v>
      </c>
      <c r="B37" s="65">
        <f>Parameters!AH11</f>
        <v>0</v>
      </c>
      <c r="C37" s="62">
        <v>5</v>
      </c>
      <c r="D37" s="62">
        <f t="shared" ref="D37:D49" si="0">B37*C37</f>
        <v>0</v>
      </c>
    </row>
    <row r="38" spans="1:12" x14ac:dyDescent="0.2">
      <c r="A38" s="67" t="s">
        <v>54</v>
      </c>
      <c r="B38" s="65">
        <f>Parameters!AH12</f>
        <v>0</v>
      </c>
      <c r="C38" s="62">
        <v>0.5</v>
      </c>
      <c r="D38" s="62">
        <f t="shared" si="0"/>
        <v>0</v>
      </c>
      <c r="I38" s="63"/>
    </row>
    <row r="39" spans="1:12" x14ac:dyDescent="0.2">
      <c r="A39" s="67" t="s">
        <v>62</v>
      </c>
      <c r="B39" s="65">
        <f>Parameters!AH13</f>
        <v>0</v>
      </c>
      <c r="C39" s="62">
        <v>4</v>
      </c>
      <c r="D39" s="62">
        <f t="shared" si="0"/>
        <v>0</v>
      </c>
      <c r="I39" s="63"/>
    </row>
    <row r="40" spans="1:12" x14ac:dyDescent="0.2">
      <c r="A40" s="61" t="s">
        <v>94</v>
      </c>
      <c r="B40" s="65">
        <f>Parameters!AH14</f>
        <v>0</v>
      </c>
      <c r="C40" s="62">
        <v>5</v>
      </c>
      <c r="D40" s="62">
        <f t="shared" si="0"/>
        <v>0</v>
      </c>
      <c r="I40" s="63"/>
    </row>
    <row r="41" spans="1:12" x14ac:dyDescent="0.2">
      <c r="A41" s="66" t="s">
        <v>95</v>
      </c>
      <c r="B41" s="65">
        <f>Parameters!AH15</f>
        <v>0</v>
      </c>
      <c r="C41" s="62">
        <v>0.5</v>
      </c>
      <c r="D41" s="62">
        <f t="shared" si="0"/>
        <v>0</v>
      </c>
      <c r="I41" s="63"/>
    </row>
    <row r="42" spans="1:12" x14ac:dyDescent="0.2">
      <c r="A42" s="61" t="s">
        <v>63</v>
      </c>
      <c r="B42" s="65">
        <f>Parameters!AH16</f>
        <v>0</v>
      </c>
      <c r="C42" s="62">
        <v>0.5</v>
      </c>
      <c r="D42" s="62">
        <f t="shared" si="0"/>
        <v>0</v>
      </c>
      <c r="L42" s="63"/>
    </row>
    <row r="43" spans="1:12" x14ac:dyDescent="0.2">
      <c r="A43" s="61" t="s">
        <v>64</v>
      </c>
      <c r="B43" s="65">
        <f>Parameters!AH17</f>
        <v>0</v>
      </c>
      <c r="C43" s="62">
        <v>1</v>
      </c>
      <c r="D43" s="62">
        <f t="shared" si="0"/>
        <v>0</v>
      </c>
      <c r="L43" s="63"/>
    </row>
    <row r="44" spans="1:12" x14ac:dyDescent="0.2">
      <c r="A44" s="61" t="s">
        <v>51</v>
      </c>
      <c r="B44" s="65">
        <f>Parameters!AH18</f>
        <v>0</v>
      </c>
      <c r="C44" s="62">
        <f>IF(H17&gt;2300,0.35,3.5)</f>
        <v>3.5</v>
      </c>
      <c r="D44" s="62">
        <f t="shared" si="0"/>
        <v>0</v>
      </c>
      <c r="F44" s="61" t="s">
        <v>89</v>
      </c>
      <c r="L44" s="63"/>
    </row>
    <row r="45" spans="1:12" x14ac:dyDescent="0.2">
      <c r="A45" s="61" t="s">
        <v>59</v>
      </c>
      <c r="B45" s="65">
        <f>Parameters!AH19</f>
        <v>0</v>
      </c>
      <c r="C45" s="62">
        <v>1</v>
      </c>
      <c r="D45" s="62">
        <f t="shared" si="0"/>
        <v>0</v>
      </c>
      <c r="I45" s="63"/>
    </row>
    <row r="46" spans="1:12" x14ac:dyDescent="0.2">
      <c r="A46" s="61" t="s">
        <v>60</v>
      </c>
      <c r="B46" s="65">
        <f>Parameters!AH20</f>
        <v>0</v>
      </c>
      <c r="C46" s="62">
        <v>0.1</v>
      </c>
      <c r="D46" s="62">
        <f t="shared" si="0"/>
        <v>0</v>
      </c>
      <c r="I46" s="63"/>
    </row>
    <row r="47" spans="1:12" x14ac:dyDescent="0.2">
      <c r="A47" s="61" t="s">
        <v>56</v>
      </c>
      <c r="B47" s="65">
        <f>Parameters!AH21</f>
        <v>0</v>
      </c>
      <c r="C47" s="62">
        <v>1</v>
      </c>
      <c r="D47" s="62">
        <f t="shared" si="0"/>
        <v>0</v>
      </c>
      <c r="I47" s="63"/>
    </row>
    <row r="48" spans="1:12" x14ac:dyDescent="0.2">
      <c r="A48" s="61" t="s">
        <v>57</v>
      </c>
      <c r="B48" s="65">
        <f>Parameters!AH22</f>
        <v>0</v>
      </c>
      <c r="C48" s="62">
        <v>6</v>
      </c>
      <c r="D48" s="62">
        <f t="shared" si="0"/>
        <v>0</v>
      </c>
      <c r="I48" s="63"/>
    </row>
    <row r="49" spans="1:9" x14ac:dyDescent="0.2">
      <c r="A49" s="61" t="s">
        <v>61</v>
      </c>
      <c r="B49" s="65">
        <f>Parameters!AH23</f>
        <v>0</v>
      </c>
      <c r="C49" s="62">
        <v>0.2</v>
      </c>
      <c r="D49" s="62">
        <f t="shared" si="0"/>
        <v>0</v>
      </c>
      <c r="I49" s="63"/>
    </row>
    <row r="50" spans="1:9" x14ac:dyDescent="0.2">
      <c r="B50" s="64"/>
      <c r="C50" s="62"/>
      <c r="D50" s="62"/>
      <c r="I50" s="63"/>
    </row>
    <row r="51" spans="1:9" x14ac:dyDescent="0.2">
      <c r="A51" s="61" t="s">
        <v>46</v>
      </c>
      <c r="B51" s="62"/>
      <c r="C51" s="62"/>
      <c r="D51" s="62">
        <f>SUM(D37:D50)</f>
        <v>0</v>
      </c>
    </row>
  </sheetData>
  <conditionalFormatting sqref="D28">
    <cfRule type="cellIs" dxfId="1" priority="1" stopIfTrue="1" operator="lessThan">
      <formula>65</formula>
    </cfRule>
  </conditionalFormatting>
  <conditionalFormatting sqref="E7 E12 E10 K11 B37:B49">
    <cfRule type="cellIs" dxfId="0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6"/>
  <dimension ref="A1:D21"/>
  <sheetViews>
    <sheetView workbookViewId="0">
      <selection activeCell="H24" sqref="H24"/>
    </sheetView>
  </sheetViews>
  <sheetFormatPr defaultRowHeight="12.75" x14ac:dyDescent="0.2"/>
  <sheetData>
    <row r="1" spans="1:4" x14ac:dyDescent="0.2">
      <c r="A1" t="s">
        <v>68</v>
      </c>
      <c r="B1" t="s">
        <v>69</v>
      </c>
      <c r="C1" t="s">
        <v>70</v>
      </c>
      <c r="D1" t="s">
        <v>71</v>
      </c>
    </row>
    <row r="2" spans="1:4" x14ac:dyDescent="0.2">
      <c r="A2">
        <v>15</v>
      </c>
      <c r="B2">
        <v>14.9</v>
      </c>
      <c r="C2">
        <v>14.9</v>
      </c>
    </row>
    <row r="3" spans="1:4" x14ac:dyDescent="0.2">
      <c r="A3">
        <v>20</v>
      </c>
      <c r="B3">
        <v>20.5</v>
      </c>
      <c r="C3">
        <v>20.5</v>
      </c>
      <c r="D3">
        <v>16.899999999999999</v>
      </c>
    </row>
    <row r="4" spans="1:4" x14ac:dyDescent="0.2">
      <c r="A4">
        <v>25</v>
      </c>
      <c r="B4">
        <v>26.5</v>
      </c>
      <c r="C4">
        <v>26.5</v>
      </c>
      <c r="D4">
        <v>23.7</v>
      </c>
    </row>
    <row r="5" spans="1:4" x14ac:dyDescent="0.2">
      <c r="A5">
        <v>32</v>
      </c>
      <c r="B5">
        <v>37.200000000000003</v>
      </c>
      <c r="C5">
        <v>32.4</v>
      </c>
      <c r="D5">
        <v>29.8</v>
      </c>
    </row>
    <row r="6" spans="1:4" x14ac:dyDescent="0.2">
      <c r="A6">
        <v>40</v>
      </c>
      <c r="B6">
        <v>43.1</v>
      </c>
      <c r="C6">
        <v>38.299999999999997</v>
      </c>
      <c r="D6">
        <v>35.700000000000003</v>
      </c>
    </row>
    <row r="7" spans="1:4" x14ac:dyDescent="0.2">
      <c r="A7">
        <v>50</v>
      </c>
      <c r="B7">
        <v>54.5</v>
      </c>
      <c r="C7">
        <v>50.3</v>
      </c>
      <c r="D7">
        <v>47.7</v>
      </c>
    </row>
    <row r="8" spans="1:4" x14ac:dyDescent="0.2">
      <c r="A8">
        <v>65</v>
      </c>
      <c r="B8">
        <v>70.3</v>
      </c>
      <c r="C8">
        <v>66.099999999999994</v>
      </c>
      <c r="D8">
        <v>61.9</v>
      </c>
    </row>
    <row r="9" spans="1:4" x14ac:dyDescent="0.2">
      <c r="A9">
        <v>80</v>
      </c>
      <c r="B9">
        <v>82.5</v>
      </c>
      <c r="C9">
        <v>78.900000000000006</v>
      </c>
      <c r="D9">
        <v>73.7</v>
      </c>
    </row>
    <row r="10" spans="1:4" x14ac:dyDescent="0.2">
      <c r="A10">
        <v>100</v>
      </c>
      <c r="B10">
        <v>107.1</v>
      </c>
      <c r="C10">
        <v>104.3</v>
      </c>
      <c r="D10">
        <v>97.1</v>
      </c>
    </row>
    <row r="11" spans="1:4" x14ac:dyDescent="0.2">
      <c r="A11">
        <v>125</v>
      </c>
      <c r="B11">
        <v>131.69999999999999</v>
      </c>
      <c r="C11">
        <v>128.5</v>
      </c>
      <c r="D11">
        <v>123.7</v>
      </c>
    </row>
    <row r="12" spans="1:4" x14ac:dyDescent="0.2">
      <c r="A12">
        <v>150</v>
      </c>
      <c r="B12">
        <v>159.30000000000001</v>
      </c>
      <c r="C12">
        <v>157.1</v>
      </c>
      <c r="D12">
        <v>150.69999999999999</v>
      </c>
    </row>
    <row r="13" spans="1:4" x14ac:dyDescent="0.2">
      <c r="A13">
        <v>200</v>
      </c>
      <c r="B13">
        <v>206.5</v>
      </c>
      <c r="C13">
        <v>206.5</v>
      </c>
      <c r="D13">
        <v>199.1</v>
      </c>
    </row>
    <row r="14" spans="1:4" x14ac:dyDescent="0.2">
      <c r="A14">
        <v>250</v>
      </c>
      <c r="B14">
        <v>260.39999999999998</v>
      </c>
      <c r="C14">
        <v>260.39999999999998</v>
      </c>
      <c r="D14">
        <v>254.4</v>
      </c>
    </row>
    <row r="15" spans="1:4" x14ac:dyDescent="0.2">
      <c r="A15">
        <v>300</v>
      </c>
      <c r="B15">
        <v>309.7</v>
      </c>
      <c r="C15">
        <v>309.7</v>
      </c>
      <c r="D15">
        <v>304.89999999999998</v>
      </c>
    </row>
    <row r="16" spans="1:4" x14ac:dyDescent="0.2">
      <c r="A16">
        <v>350</v>
      </c>
      <c r="B16">
        <v>339.6</v>
      </c>
      <c r="C16">
        <v>339.6</v>
      </c>
      <c r="D16">
        <v>336.6</v>
      </c>
    </row>
    <row r="17" spans="1:4" x14ac:dyDescent="0.2">
      <c r="A17">
        <v>400</v>
      </c>
      <c r="B17">
        <v>390.6</v>
      </c>
      <c r="C17">
        <v>390.6</v>
      </c>
      <c r="D17">
        <v>387.4</v>
      </c>
    </row>
    <row r="18" spans="1:4" x14ac:dyDescent="0.2">
      <c r="A18">
        <v>450</v>
      </c>
      <c r="B18">
        <v>441.2</v>
      </c>
      <c r="C18">
        <v>441.2</v>
      </c>
      <c r="D18">
        <v>438</v>
      </c>
    </row>
    <row r="19" spans="1:4" x14ac:dyDescent="0.2">
      <c r="A19">
        <v>500</v>
      </c>
      <c r="B19">
        <v>489</v>
      </c>
      <c r="C19">
        <v>489</v>
      </c>
      <c r="D19">
        <v>489</v>
      </c>
    </row>
    <row r="20" spans="1:4" x14ac:dyDescent="0.2">
      <c r="A20">
        <v>550</v>
      </c>
      <c r="B20">
        <v>540</v>
      </c>
      <c r="C20">
        <v>540</v>
      </c>
      <c r="D20">
        <v>540</v>
      </c>
    </row>
    <row r="21" spans="1:4" x14ac:dyDescent="0.2">
      <c r="A21">
        <v>600</v>
      </c>
      <c r="B21">
        <v>591</v>
      </c>
      <c r="C21">
        <v>591</v>
      </c>
      <c r="D21">
        <v>591</v>
      </c>
    </row>
  </sheetData>
  <sheetProtection sheet="1" objects="1" scenarios="1"/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1"/>
  <sheetViews>
    <sheetView workbookViewId="0">
      <selection activeCell="E8" sqref="E8"/>
    </sheetView>
  </sheetViews>
  <sheetFormatPr defaultRowHeight="12.75" x14ac:dyDescent="0.2"/>
  <cols>
    <col min="1" max="1" width="12.140625" style="1" customWidth="1"/>
    <col min="2" max="3" width="9.140625" style="1"/>
    <col min="4" max="4" width="12.42578125" style="1" bestFit="1" customWidth="1"/>
    <col min="5" max="5" width="12" style="1" bestFit="1" customWidth="1"/>
    <col min="6" max="6" width="10.7109375" style="1" customWidth="1"/>
    <col min="7" max="7" width="12.42578125" style="1" bestFit="1" customWidth="1"/>
    <col min="8" max="9" width="9.42578125" style="1" customWidth="1"/>
    <col min="10" max="10" width="14.140625" style="1" bestFit="1" customWidth="1"/>
    <col min="11" max="11" width="5" style="1" bestFit="1" customWidth="1"/>
    <col min="12" max="12" width="14.85546875" style="1" bestFit="1" customWidth="1"/>
    <col min="13" max="13" width="3.7109375" style="1" bestFit="1" customWidth="1"/>
    <col min="14" max="14" width="8.85546875" style="1" bestFit="1" customWidth="1"/>
    <col min="15" max="15" width="3.7109375" style="1" bestFit="1" customWidth="1"/>
    <col min="16" max="16" width="7.42578125" style="1" bestFit="1" customWidth="1"/>
    <col min="17" max="17" width="3.7109375" style="1" bestFit="1" customWidth="1"/>
    <col min="18" max="18" width="6.85546875" style="1" bestFit="1" customWidth="1"/>
    <col min="19" max="16384" width="9.140625" style="1"/>
  </cols>
  <sheetData>
    <row r="2" spans="1:17" ht="15.75" x14ac:dyDescent="0.25">
      <c r="A2" s="22" t="s">
        <v>0</v>
      </c>
    </row>
    <row r="6" spans="1:17" x14ac:dyDescent="0.2">
      <c r="A6" s="26" t="s">
        <v>85</v>
      </c>
    </row>
    <row r="7" spans="1:17" x14ac:dyDescent="0.2">
      <c r="A7" s="25" t="s">
        <v>4</v>
      </c>
      <c r="E7" s="3">
        <f>Parameters!B7</f>
        <v>0</v>
      </c>
      <c r="F7" s="27" t="s">
        <v>86</v>
      </c>
    </row>
    <row r="8" spans="1:17" x14ac:dyDescent="0.2">
      <c r="A8" s="25" t="s">
        <v>5</v>
      </c>
      <c r="E8" s="27">
        <f>total!F18</f>
        <v>1025</v>
      </c>
      <c r="F8" s="27" t="s">
        <v>11</v>
      </c>
      <c r="Q8" s="28"/>
    </row>
    <row r="9" spans="1:17" x14ac:dyDescent="0.2">
      <c r="A9" s="25" t="s">
        <v>9</v>
      </c>
      <c r="E9" s="27">
        <f>total!F17</f>
        <v>1</v>
      </c>
      <c r="F9" s="27" t="s">
        <v>73</v>
      </c>
    </row>
    <row r="10" spans="1:17" x14ac:dyDescent="0.2">
      <c r="A10" s="25" t="s">
        <v>6</v>
      </c>
      <c r="E10" s="3">
        <f>Parameters!B8</f>
        <v>0</v>
      </c>
      <c r="F10" s="27" t="s">
        <v>12</v>
      </c>
    </row>
    <row r="11" spans="1:17" x14ac:dyDescent="0.2">
      <c r="A11" s="25" t="s">
        <v>7</v>
      </c>
      <c r="E11" s="27">
        <f>VLOOKUP(H11,'pipe dimensions'!A1:D21,K11+1)</f>
        <v>450</v>
      </c>
      <c r="F11" s="27" t="s">
        <v>13</v>
      </c>
      <c r="G11" s="28" t="s">
        <v>68</v>
      </c>
      <c r="H11" s="28">
        <v>450</v>
      </c>
      <c r="J11" s="1" t="s">
        <v>72</v>
      </c>
      <c r="K11" s="3">
        <f>Parameters!B10</f>
        <v>0</v>
      </c>
      <c r="L11" s="1" t="s">
        <v>74</v>
      </c>
    </row>
    <row r="12" spans="1:17" x14ac:dyDescent="0.2">
      <c r="A12" s="25" t="s">
        <v>14</v>
      </c>
      <c r="E12" s="3">
        <f>Parameters!B9</f>
        <v>0</v>
      </c>
      <c r="F12" s="27"/>
      <c r="G12" s="28" t="s">
        <v>24</v>
      </c>
      <c r="H12" s="28">
        <v>0.15</v>
      </c>
      <c r="I12" s="1" t="s">
        <v>13</v>
      </c>
      <c r="J12" s="28" t="s">
        <v>25</v>
      </c>
      <c r="K12" s="28">
        <v>0.02</v>
      </c>
      <c r="L12" s="1" t="s">
        <v>13</v>
      </c>
    </row>
    <row r="13" spans="1:17" x14ac:dyDescent="0.2">
      <c r="A13" s="25" t="s">
        <v>8</v>
      </c>
      <c r="E13" s="27">
        <f>IF(E10&gt;0,D51,0)</f>
        <v>0</v>
      </c>
      <c r="F13" s="27"/>
    </row>
    <row r="15" spans="1:17" x14ac:dyDescent="0.2">
      <c r="A15" s="25" t="s">
        <v>1</v>
      </c>
      <c r="H15" s="27"/>
    </row>
    <row r="16" spans="1:17" x14ac:dyDescent="0.2">
      <c r="A16" s="29" t="s">
        <v>3</v>
      </c>
      <c r="D16" s="25" t="s">
        <v>75</v>
      </c>
      <c r="H16" s="30">
        <f>E7/3600/(0.785*(0.001*E11)*(0.001*E11))</f>
        <v>0</v>
      </c>
      <c r="I16" s="27" t="s">
        <v>2</v>
      </c>
    </row>
    <row r="17" spans="1:12" x14ac:dyDescent="0.2">
      <c r="A17" s="29" t="s">
        <v>10</v>
      </c>
      <c r="D17" s="25" t="s">
        <v>76</v>
      </c>
      <c r="H17" s="30">
        <f>H16*0.001*E11/E9*1000000</f>
        <v>0</v>
      </c>
      <c r="I17" s="31">
        <f>H17</f>
        <v>0</v>
      </c>
    </row>
    <row r="18" spans="1:12" x14ac:dyDescent="0.2">
      <c r="A18" s="29" t="s">
        <v>32</v>
      </c>
      <c r="D18" s="25"/>
      <c r="H18" s="32">
        <f>H12/E11</f>
        <v>3.3333333333333332E-4</v>
      </c>
      <c r="I18" s="27"/>
    </row>
    <row r="19" spans="1:12" x14ac:dyDescent="0.2">
      <c r="A19" s="29" t="s">
        <v>26</v>
      </c>
      <c r="D19" s="25"/>
      <c r="H19" s="30">
        <f>H17*H12/E11</f>
        <v>0</v>
      </c>
      <c r="I19" s="27"/>
    </row>
    <row r="20" spans="1:12" x14ac:dyDescent="0.2">
      <c r="A20" s="29"/>
      <c r="D20" s="25"/>
      <c r="H20" s="30"/>
      <c r="I20" s="27"/>
    </row>
    <row r="21" spans="1:12" x14ac:dyDescent="0.2">
      <c r="A21" s="29" t="s">
        <v>78</v>
      </c>
      <c r="D21" s="1" t="s">
        <v>77</v>
      </c>
      <c r="H21" s="32">
        <f>IF((E7&gt;0),64/H17,0)</f>
        <v>0</v>
      </c>
      <c r="I21" s="27"/>
    </row>
    <row r="22" spans="1:12" x14ac:dyDescent="0.2">
      <c r="A22" s="29" t="s">
        <v>80</v>
      </c>
      <c r="D22" s="1" t="s">
        <v>79</v>
      </c>
      <c r="H22" s="32">
        <f>IF((E7&gt;0),(0.0055*(1+(20000*IF(E12&gt;1,K12/1000,H12/1000)/(0.001*E11)+1000000/H17)^0.333333)),0)</f>
        <v>0</v>
      </c>
      <c r="I22" s="27"/>
    </row>
    <row r="23" spans="1:12" x14ac:dyDescent="0.2">
      <c r="A23" s="1" t="s">
        <v>82</v>
      </c>
      <c r="D23" s="1" t="s">
        <v>81</v>
      </c>
      <c r="H23" s="33">
        <f>((IF(H17&gt;2320,H22,H21))*E10/(0.001*E11)+E13)*E8*H16*H16/(2*100000)</f>
        <v>0</v>
      </c>
      <c r="I23" s="27" t="s">
        <v>52</v>
      </c>
      <c r="J23" s="1" t="s">
        <v>19</v>
      </c>
    </row>
    <row r="24" spans="1:12" x14ac:dyDescent="0.2">
      <c r="H24" s="30">
        <f>+H23*100/(9.81)</f>
        <v>0</v>
      </c>
      <c r="I24" s="27" t="s">
        <v>15</v>
      </c>
      <c r="J24" s="1" t="s">
        <v>20</v>
      </c>
    </row>
    <row r="25" spans="1:12" x14ac:dyDescent="0.2">
      <c r="H25" s="27" t="s">
        <v>16</v>
      </c>
      <c r="I25" s="27"/>
    </row>
    <row r="26" spans="1:12" s="24" customFormat="1" hidden="1" x14ac:dyDescent="0.2"/>
    <row r="27" spans="1:12" hidden="1" x14ac:dyDescent="0.2"/>
    <row r="28" spans="1:12" hidden="1" x14ac:dyDescent="0.2">
      <c r="A28" s="1" t="s">
        <v>41</v>
      </c>
      <c r="D28" s="1" t="s">
        <v>18</v>
      </c>
      <c r="H28" s="1" t="s">
        <v>21</v>
      </c>
      <c r="L28" s="1" t="s">
        <v>23</v>
      </c>
    </row>
    <row r="29" spans="1:12" hidden="1" x14ac:dyDescent="0.2">
      <c r="D29" s="34" t="s">
        <v>22</v>
      </c>
      <c r="F29" s="1" t="s">
        <v>42</v>
      </c>
      <c r="H29" s="35" t="s">
        <v>35</v>
      </c>
      <c r="L29" s="36" t="s">
        <v>36</v>
      </c>
    </row>
    <row r="30" spans="1:12" hidden="1" x14ac:dyDescent="0.2">
      <c r="B30" s="1" t="s">
        <v>28</v>
      </c>
    </row>
    <row r="31" spans="1:12" hidden="1" x14ac:dyDescent="0.2">
      <c r="C31" s="1" t="s">
        <v>27</v>
      </c>
      <c r="D31" s="27" t="e">
        <f>0.3164*H17^-0.25</f>
        <v>#DIV/0!</v>
      </c>
      <c r="E31" s="1" t="s">
        <v>39</v>
      </c>
      <c r="F31" s="1" t="s">
        <v>43</v>
      </c>
      <c r="G31" s="1" t="s">
        <v>30</v>
      </c>
      <c r="H31" s="1">
        <f>(1/(2*LOG10((E11/H12))+1.14))^2</f>
        <v>1.5263269619887646E-2</v>
      </c>
      <c r="I31" s="1" t="s">
        <v>37</v>
      </c>
      <c r="K31" s="1" t="s">
        <v>34</v>
      </c>
      <c r="L31" s="1" t="e">
        <f>1/(-2*LOG10(H12/(3.72*E11)+2.51/H17*((H17*E11/H12)^0.0625)*(1/0.48)))^2</f>
        <v>#DIV/0!</v>
      </c>
    </row>
    <row r="32" spans="1:12" hidden="1" x14ac:dyDescent="0.2">
      <c r="C32" s="1" t="s">
        <v>29</v>
      </c>
      <c r="D32" s="1" t="e">
        <f>0.0032+0.221*H17^-0.237</f>
        <v>#DIV/0!</v>
      </c>
      <c r="E32" s="1" t="s">
        <v>37</v>
      </c>
      <c r="F32" s="1" t="s">
        <v>44</v>
      </c>
      <c r="G32" s="1" t="s">
        <v>31</v>
      </c>
      <c r="H32" s="1">
        <f>0.0055+0.15*(H12/E11)^(1/3)</f>
        <v>1.5900419115259527E-2</v>
      </c>
      <c r="I32" s="1" t="s">
        <v>38</v>
      </c>
    </row>
    <row r="33" spans="1:12" hidden="1" x14ac:dyDescent="0.2">
      <c r="C33" s="1" t="s">
        <v>33</v>
      </c>
      <c r="D33" s="1" t="e">
        <f>0.0054+0.3964/H17^0.3</f>
        <v>#DIV/0!</v>
      </c>
      <c r="E33" s="1" t="s">
        <v>40</v>
      </c>
      <c r="F33" s="1" t="s">
        <v>45</v>
      </c>
    </row>
    <row r="34" spans="1:12" hidden="1" x14ac:dyDescent="0.2"/>
    <row r="36" spans="1:12" x14ac:dyDescent="0.2">
      <c r="A36" s="25" t="s">
        <v>47</v>
      </c>
      <c r="B36" s="1" t="s">
        <v>49</v>
      </c>
      <c r="C36" s="1" t="s">
        <v>48</v>
      </c>
      <c r="D36" s="1" t="s">
        <v>50</v>
      </c>
      <c r="F36" s="1" t="s">
        <v>58</v>
      </c>
    </row>
    <row r="37" spans="1:12" x14ac:dyDescent="0.2">
      <c r="A37" s="29" t="s">
        <v>53</v>
      </c>
      <c r="B37" s="3">
        <f>Parameters!B11</f>
        <v>0</v>
      </c>
      <c r="C37" s="2">
        <v>5</v>
      </c>
      <c r="D37" s="2">
        <f t="shared" ref="D37:D49" si="0">B37*C37</f>
        <v>0</v>
      </c>
    </row>
    <row r="38" spans="1:12" x14ac:dyDescent="0.2">
      <c r="A38" s="29" t="s">
        <v>54</v>
      </c>
      <c r="B38" s="3">
        <f>Parameters!B12</f>
        <v>0</v>
      </c>
      <c r="C38" s="2">
        <v>0.5</v>
      </c>
      <c r="D38" s="2">
        <f t="shared" si="0"/>
        <v>0</v>
      </c>
      <c r="I38" s="37"/>
    </row>
    <row r="39" spans="1:12" x14ac:dyDescent="0.2">
      <c r="A39" s="29" t="s">
        <v>62</v>
      </c>
      <c r="B39" s="3">
        <f>Parameters!B13</f>
        <v>0</v>
      </c>
      <c r="C39" s="2">
        <v>4</v>
      </c>
      <c r="D39" s="2">
        <f t="shared" si="0"/>
        <v>0</v>
      </c>
      <c r="I39" s="37"/>
    </row>
    <row r="40" spans="1:12" x14ac:dyDescent="0.2">
      <c r="A40" s="1" t="s">
        <v>94</v>
      </c>
      <c r="B40" s="3">
        <f>Parameters!B14</f>
        <v>0</v>
      </c>
      <c r="C40" s="2">
        <v>5</v>
      </c>
      <c r="D40" s="2">
        <f t="shared" si="0"/>
        <v>0</v>
      </c>
      <c r="I40" s="37"/>
    </row>
    <row r="41" spans="1:12" x14ac:dyDescent="0.2">
      <c r="A41" s="40" t="s">
        <v>95</v>
      </c>
      <c r="B41" s="3">
        <f>Parameters!B15</f>
        <v>0</v>
      </c>
      <c r="C41" s="2">
        <v>0.5</v>
      </c>
      <c r="D41" s="2">
        <f t="shared" si="0"/>
        <v>0</v>
      </c>
      <c r="I41" s="37"/>
    </row>
    <row r="42" spans="1:12" x14ac:dyDescent="0.2">
      <c r="A42" s="1" t="s">
        <v>63</v>
      </c>
      <c r="B42" s="3">
        <f>Parameters!B16</f>
        <v>0</v>
      </c>
      <c r="C42" s="2">
        <v>0.5</v>
      </c>
      <c r="D42" s="2">
        <f t="shared" si="0"/>
        <v>0</v>
      </c>
      <c r="L42" s="37"/>
    </row>
    <row r="43" spans="1:12" x14ac:dyDescent="0.2">
      <c r="A43" s="1" t="s">
        <v>64</v>
      </c>
      <c r="B43" s="3">
        <f>Parameters!B17</f>
        <v>0</v>
      </c>
      <c r="C43" s="2">
        <v>1</v>
      </c>
      <c r="D43" s="2">
        <f t="shared" si="0"/>
        <v>0</v>
      </c>
      <c r="L43" s="37"/>
    </row>
    <row r="44" spans="1:12" x14ac:dyDescent="0.2">
      <c r="A44" s="1" t="s">
        <v>51</v>
      </c>
      <c r="B44" s="3">
        <f>Parameters!B18</f>
        <v>0</v>
      </c>
      <c r="C44" s="2">
        <f>IF(H17&gt;2300,0.35,3.5)</f>
        <v>3.5</v>
      </c>
      <c r="D44" s="2">
        <f t="shared" si="0"/>
        <v>0</v>
      </c>
      <c r="F44" s="1" t="s">
        <v>89</v>
      </c>
      <c r="L44" s="37"/>
    </row>
    <row r="45" spans="1:12" x14ac:dyDescent="0.2">
      <c r="A45" s="1" t="s">
        <v>59</v>
      </c>
      <c r="B45" s="3">
        <f>Parameters!B19</f>
        <v>0</v>
      </c>
      <c r="C45" s="2">
        <v>1</v>
      </c>
      <c r="D45" s="2">
        <f t="shared" si="0"/>
        <v>0</v>
      </c>
      <c r="I45" s="37"/>
    </row>
    <row r="46" spans="1:12" x14ac:dyDescent="0.2">
      <c r="A46" s="1" t="s">
        <v>60</v>
      </c>
      <c r="B46" s="3">
        <f>Parameters!B20</f>
        <v>0</v>
      </c>
      <c r="C46" s="2">
        <v>0.1</v>
      </c>
      <c r="D46" s="2">
        <f t="shared" si="0"/>
        <v>0</v>
      </c>
      <c r="I46" s="37"/>
    </row>
    <row r="47" spans="1:12" x14ac:dyDescent="0.2">
      <c r="A47" s="1" t="s">
        <v>56</v>
      </c>
      <c r="B47" s="3">
        <f>Parameters!B21</f>
        <v>0</v>
      </c>
      <c r="C47" s="2">
        <v>1</v>
      </c>
      <c r="D47" s="2">
        <f t="shared" si="0"/>
        <v>0</v>
      </c>
      <c r="I47" s="37"/>
    </row>
    <row r="48" spans="1:12" x14ac:dyDescent="0.2">
      <c r="A48" s="1" t="s">
        <v>57</v>
      </c>
      <c r="B48" s="3">
        <f>Parameters!B22</f>
        <v>0</v>
      </c>
      <c r="C48" s="2">
        <v>6</v>
      </c>
      <c r="D48" s="2">
        <f t="shared" si="0"/>
        <v>0</v>
      </c>
      <c r="I48" s="37"/>
    </row>
    <row r="49" spans="1:9" x14ac:dyDescent="0.2">
      <c r="A49" s="1" t="s">
        <v>61</v>
      </c>
      <c r="B49" s="3">
        <f>Parameters!B23</f>
        <v>0</v>
      </c>
      <c r="C49" s="2">
        <v>0.2</v>
      </c>
      <c r="D49" s="2">
        <f t="shared" si="0"/>
        <v>0</v>
      </c>
      <c r="I49" s="37"/>
    </row>
    <row r="50" spans="1:9" x14ac:dyDescent="0.2">
      <c r="B50" s="38"/>
      <c r="C50" s="2"/>
      <c r="D50" s="2"/>
      <c r="I50" s="37"/>
    </row>
    <row r="51" spans="1:9" x14ac:dyDescent="0.2">
      <c r="A51" s="1" t="s">
        <v>46</v>
      </c>
      <c r="B51" s="2"/>
      <c r="C51" s="2"/>
      <c r="D51" s="2">
        <f>SUM(D37:D50)</f>
        <v>0</v>
      </c>
    </row>
  </sheetData>
  <conditionalFormatting sqref="D28">
    <cfRule type="cellIs" dxfId="63" priority="1" stopIfTrue="1" operator="lessThan">
      <formula>65</formula>
    </cfRule>
  </conditionalFormatting>
  <conditionalFormatting sqref="E7 E12 E10 K11 B37:B49">
    <cfRule type="cellIs" dxfId="62" priority="2" stopIfTrue="1" operator="notEqual">
      <formula>0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1"/>
  <sheetViews>
    <sheetView workbookViewId="0">
      <selection activeCell="L11" sqref="L11"/>
    </sheetView>
  </sheetViews>
  <sheetFormatPr defaultRowHeight="12.75" x14ac:dyDescent="0.2"/>
  <cols>
    <col min="1" max="1" width="12.140625" style="1" customWidth="1"/>
    <col min="2" max="3" width="9.140625" style="1"/>
    <col min="4" max="4" width="12.42578125" style="1" bestFit="1" customWidth="1"/>
    <col min="5" max="5" width="12" style="1" bestFit="1" customWidth="1"/>
    <col min="6" max="6" width="10.7109375" style="1" customWidth="1"/>
    <col min="7" max="7" width="12.42578125" style="1" bestFit="1" customWidth="1"/>
    <col min="8" max="9" width="9.42578125" style="1" customWidth="1"/>
    <col min="10" max="10" width="14.140625" style="1" bestFit="1" customWidth="1"/>
    <col min="11" max="11" width="5" style="1" bestFit="1" customWidth="1"/>
    <col min="12" max="12" width="14.85546875" style="1" bestFit="1" customWidth="1"/>
    <col min="13" max="13" width="3.7109375" style="1" bestFit="1" customWidth="1"/>
    <col min="14" max="14" width="8.85546875" style="1" bestFit="1" customWidth="1"/>
    <col min="15" max="15" width="3.7109375" style="1" bestFit="1" customWidth="1"/>
    <col min="16" max="16" width="7.42578125" style="1" bestFit="1" customWidth="1"/>
    <col min="17" max="17" width="3.7109375" style="1" bestFit="1" customWidth="1"/>
    <col min="18" max="18" width="6.85546875" style="1" bestFit="1" customWidth="1"/>
    <col min="19" max="16384" width="9.140625" style="1"/>
  </cols>
  <sheetData>
    <row r="2" spans="1:17" ht="15.75" x14ac:dyDescent="0.25">
      <c r="A2" s="22" t="s">
        <v>0</v>
      </c>
    </row>
    <row r="6" spans="1:17" x14ac:dyDescent="0.2">
      <c r="A6" s="26" t="s">
        <v>85</v>
      </c>
    </row>
    <row r="7" spans="1:17" x14ac:dyDescent="0.2">
      <c r="A7" s="25" t="s">
        <v>4</v>
      </c>
      <c r="E7" s="3">
        <f>Parameters!C7</f>
        <v>0</v>
      </c>
      <c r="F7" s="27" t="s">
        <v>86</v>
      </c>
    </row>
    <row r="8" spans="1:17" x14ac:dyDescent="0.2">
      <c r="A8" s="25" t="s">
        <v>5</v>
      </c>
      <c r="E8" s="27">
        <f>total!F18</f>
        <v>1025</v>
      </c>
      <c r="F8" s="27" t="s">
        <v>11</v>
      </c>
      <c r="Q8" s="28"/>
    </row>
    <row r="9" spans="1:17" x14ac:dyDescent="0.2">
      <c r="A9" s="25" t="s">
        <v>9</v>
      </c>
      <c r="E9" s="27">
        <f>total!F17</f>
        <v>1</v>
      </c>
      <c r="F9" s="27" t="s">
        <v>73</v>
      </c>
    </row>
    <row r="10" spans="1:17" x14ac:dyDescent="0.2">
      <c r="A10" s="25" t="s">
        <v>6</v>
      </c>
      <c r="E10" s="3">
        <f>Parameters!C8</f>
        <v>0</v>
      </c>
      <c r="F10" s="27" t="s">
        <v>12</v>
      </c>
    </row>
    <row r="11" spans="1:17" x14ac:dyDescent="0.2">
      <c r="A11" s="25" t="s">
        <v>7</v>
      </c>
      <c r="E11" s="27">
        <f>VLOOKUP(H11,'pipe dimensions'!A1:D21,K11+1)</f>
        <v>450</v>
      </c>
      <c r="F11" s="27" t="s">
        <v>13</v>
      </c>
      <c r="G11" s="28" t="s">
        <v>68</v>
      </c>
      <c r="H11" s="28">
        <v>450</v>
      </c>
      <c r="J11" s="1" t="s">
        <v>72</v>
      </c>
      <c r="K11" s="3">
        <f>Parameters!C10</f>
        <v>0</v>
      </c>
      <c r="L11" s="1" t="s">
        <v>74</v>
      </c>
    </row>
    <row r="12" spans="1:17" x14ac:dyDescent="0.2">
      <c r="A12" s="25" t="s">
        <v>14</v>
      </c>
      <c r="E12" s="3">
        <f>Parameters!C9</f>
        <v>0</v>
      </c>
      <c r="F12" s="27"/>
      <c r="G12" s="28" t="s">
        <v>24</v>
      </c>
      <c r="H12" s="28">
        <v>0.15</v>
      </c>
      <c r="I12" s="1" t="s">
        <v>13</v>
      </c>
      <c r="J12" s="28" t="s">
        <v>25</v>
      </c>
      <c r="K12" s="28">
        <v>0.02</v>
      </c>
      <c r="L12" s="1" t="s">
        <v>13</v>
      </c>
    </row>
    <row r="13" spans="1:17" x14ac:dyDescent="0.2">
      <c r="A13" s="25" t="s">
        <v>8</v>
      </c>
      <c r="E13" s="27">
        <f>IF(E10&gt;0,D51,0)</f>
        <v>0</v>
      </c>
      <c r="F13" s="27"/>
    </row>
    <row r="15" spans="1:17" x14ac:dyDescent="0.2">
      <c r="A15" s="25" t="s">
        <v>1</v>
      </c>
      <c r="H15" s="27"/>
    </row>
    <row r="16" spans="1:17" x14ac:dyDescent="0.2">
      <c r="A16" s="29" t="s">
        <v>3</v>
      </c>
      <c r="D16" s="25" t="s">
        <v>75</v>
      </c>
      <c r="H16" s="30">
        <f>E7/3600/(0.785*(0.001*E11)*(0.001*E11))</f>
        <v>0</v>
      </c>
      <c r="I16" s="27" t="s">
        <v>2</v>
      </c>
    </row>
    <row r="17" spans="1:12" x14ac:dyDescent="0.2">
      <c r="A17" s="29" t="s">
        <v>10</v>
      </c>
      <c r="D17" s="25" t="s">
        <v>76</v>
      </c>
      <c r="H17" s="30">
        <f>H16*0.001*E11/E9*1000000</f>
        <v>0</v>
      </c>
      <c r="I17" s="31">
        <f>H17</f>
        <v>0</v>
      </c>
    </row>
    <row r="18" spans="1:12" x14ac:dyDescent="0.2">
      <c r="A18" s="29" t="s">
        <v>32</v>
      </c>
      <c r="D18" s="25"/>
      <c r="H18" s="32">
        <f>H12/E11</f>
        <v>3.3333333333333332E-4</v>
      </c>
      <c r="I18" s="27"/>
    </row>
    <row r="19" spans="1:12" x14ac:dyDescent="0.2">
      <c r="A19" s="29" t="s">
        <v>26</v>
      </c>
      <c r="D19" s="25"/>
      <c r="H19" s="30">
        <f>H17*H12/E11</f>
        <v>0</v>
      </c>
      <c r="I19" s="27"/>
    </row>
    <row r="20" spans="1:12" x14ac:dyDescent="0.2">
      <c r="A20" s="29"/>
      <c r="D20" s="25"/>
      <c r="H20" s="30"/>
      <c r="I20" s="27"/>
    </row>
    <row r="21" spans="1:12" x14ac:dyDescent="0.2">
      <c r="A21" s="29" t="s">
        <v>78</v>
      </c>
      <c r="D21" s="1" t="s">
        <v>77</v>
      </c>
      <c r="H21" s="32">
        <f>IF((E7&gt;0),64/H17,0)</f>
        <v>0</v>
      </c>
      <c r="I21" s="27"/>
    </row>
    <row r="22" spans="1:12" x14ac:dyDescent="0.2">
      <c r="A22" s="29" t="s">
        <v>80</v>
      </c>
      <c r="D22" s="1" t="s">
        <v>79</v>
      </c>
      <c r="H22" s="32">
        <f>IF((E7&gt;0),(0.0055*(1+(20000*IF(E12&gt;1,K12/1000,H12/1000)/(0.001*E11)+1000000/H17)^0.333333)),0)</f>
        <v>0</v>
      </c>
      <c r="I22" s="27"/>
    </row>
    <row r="23" spans="1:12" x14ac:dyDescent="0.2">
      <c r="A23" s="1" t="s">
        <v>82</v>
      </c>
      <c r="D23" s="1" t="s">
        <v>81</v>
      </c>
      <c r="H23" s="33">
        <f>((IF(H17&gt;2320,H22,H21))*E10/(0.001*E11)+E13)*E8*H16*H16/(2*100000)</f>
        <v>0</v>
      </c>
      <c r="I23" s="27" t="s">
        <v>52</v>
      </c>
      <c r="J23" s="1" t="s">
        <v>19</v>
      </c>
    </row>
    <row r="24" spans="1:12" x14ac:dyDescent="0.2">
      <c r="H24" s="30">
        <f>+H23*100/(9.81)</f>
        <v>0</v>
      </c>
      <c r="I24" s="27" t="s">
        <v>15</v>
      </c>
      <c r="J24" s="1" t="s">
        <v>20</v>
      </c>
    </row>
    <row r="25" spans="1:12" x14ac:dyDescent="0.2">
      <c r="H25" s="27" t="s">
        <v>16</v>
      </c>
      <c r="I25" s="27"/>
    </row>
    <row r="26" spans="1:12" s="24" customFormat="1" hidden="1" x14ac:dyDescent="0.2"/>
    <row r="27" spans="1:12" hidden="1" x14ac:dyDescent="0.2"/>
    <row r="28" spans="1:12" hidden="1" x14ac:dyDescent="0.2">
      <c r="A28" s="1" t="s">
        <v>41</v>
      </c>
      <c r="D28" s="1" t="s">
        <v>18</v>
      </c>
      <c r="H28" s="1" t="s">
        <v>21</v>
      </c>
      <c r="L28" s="1" t="s">
        <v>23</v>
      </c>
    </row>
    <row r="29" spans="1:12" hidden="1" x14ac:dyDescent="0.2">
      <c r="D29" s="34" t="s">
        <v>22</v>
      </c>
      <c r="F29" s="1" t="s">
        <v>42</v>
      </c>
      <c r="H29" s="35" t="s">
        <v>35</v>
      </c>
      <c r="L29" s="36" t="s">
        <v>36</v>
      </c>
    </row>
    <row r="30" spans="1:12" hidden="1" x14ac:dyDescent="0.2">
      <c r="B30" s="1" t="s">
        <v>28</v>
      </c>
    </row>
    <row r="31" spans="1:12" hidden="1" x14ac:dyDescent="0.2">
      <c r="C31" s="1" t="s">
        <v>27</v>
      </c>
      <c r="D31" s="27" t="e">
        <f>0.3164*H17^-0.25</f>
        <v>#DIV/0!</v>
      </c>
      <c r="E31" s="1" t="s">
        <v>39</v>
      </c>
      <c r="F31" s="1" t="s">
        <v>43</v>
      </c>
      <c r="G31" s="1" t="s">
        <v>30</v>
      </c>
      <c r="H31" s="1">
        <f>(1/(2*LOG10((E11/H12))+1.14))^2</f>
        <v>1.5263269619887646E-2</v>
      </c>
      <c r="I31" s="1" t="s">
        <v>37</v>
      </c>
      <c r="K31" s="1" t="s">
        <v>34</v>
      </c>
      <c r="L31" s="1" t="e">
        <f>1/(-2*LOG10(H12/(3.72*E11)+2.51/H17*((H17*E11/H12)^0.0625)*(1/0.48)))^2</f>
        <v>#DIV/0!</v>
      </c>
    </row>
    <row r="32" spans="1:12" hidden="1" x14ac:dyDescent="0.2">
      <c r="C32" s="1" t="s">
        <v>29</v>
      </c>
      <c r="D32" s="1" t="e">
        <f>0.0032+0.221*H17^-0.237</f>
        <v>#DIV/0!</v>
      </c>
      <c r="E32" s="1" t="s">
        <v>37</v>
      </c>
      <c r="F32" s="1" t="s">
        <v>44</v>
      </c>
      <c r="G32" s="1" t="s">
        <v>31</v>
      </c>
      <c r="H32" s="1">
        <f>0.0055+0.15*(H12/E11)^(1/3)</f>
        <v>1.5900419115259527E-2</v>
      </c>
      <c r="I32" s="1" t="s">
        <v>38</v>
      </c>
    </row>
    <row r="33" spans="1:12" hidden="1" x14ac:dyDescent="0.2">
      <c r="C33" s="1" t="s">
        <v>33</v>
      </c>
      <c r="D33" s="1" t="e">
        <f>0.0054+0.3964/H17^0.3</f>
        <v>#DIV/0!</v>
      </c>
      <c r="E33" s="1" t="s">
        <v>40</v>
      </c>
      <c r="F33" s="1" t="s">
        <v>45</v>
      </c>
    </row>
    <row r="34" spans="1:12" hidden="1" x14ac:dyDescent="0.2"/>
    <row r="36" spans="1:12" x14ac:dyDescent="0.2">
      <c r="A36" s="25" t="s">
        <v>47</v>
      </c>
      <c r="B36" s="1" t="s">
        <v>49</v>
      </c>
      <c r="C36" s="1" t="s">
        <v>48</v>
      </c>
      <c r="D36" s="1" t="s">
        <v>50</v>
      </c>
      <c r="F36" s="1" t="s">
        <v>58</v>
      </c>
    </row>
    <row r="37" spans="1:12" x14ac:dyDescent="0.2">
      <c r="A37" s="29" t="s">
        <v>53</v>
      </c>
      <c r="B37" s="3">
        <f>Parameters!C11</f>
        <v>0</v>
      </c>
      <c r="C37" s="2">
        <v>5</v>
      </c>
      <c r="D37" s="2">
        <f t="shared" ref="D37:D49" si="0">B37*C37</f>
        <v>0</v>
      </c>
    </row>
    <row r="38" spans="1:12" x14ac:dyDescent="0.2">
      <c r="A38" s="29" t="s">
        <v>54</v>
      </c>
      <c r="B38" s="3">
        <f>Parameters!C12</f>
        <v>0</v>
      </c>
      <c r="C38" s="2">
        <v>0.5</v>
      </c>
      <c r="D38" s="2">
        <f t="shared" si="0"/>
        <v>0</v>
      </c>
      <c r="I38" s="37"/>
    </row>
    <row r="39" spans="1:12" x14ac:dyDescent="0.2">
      <c r="A39" s="29" t="s">
        <v>62</v>
      </c>
      <c r="B39" s="3">
        <f>Parameters!C13</f>
        <v>0</v>
      </c>
      <c r="C39" s="2">
        <v>4</v>
      </c>
      <c r="D39" s="2">
        <f t="shared" si="0"/>
        <v>0</v>
      </c>
      <c r="I39" s="37"/>
    </row>
    <row r="40" spans="1:12" x14ac:dyDescent="0.2">
      <c r="A40" s="1" t="s">
        <v>94</v>
      </c>
      <c r="B40" s="3">
        <f>Parameters!C14</f>
        <v>0</v>
      </c>
      <c r="C40" s="2">
        <v>5</v>
      </c>
      <c r="D40" s="2">
        <f t="shared" si="0"/>
        <v>0</v>
      </c>
      <c r="I40" s="37"/>
    </row>
    <row r="41" spans="1:12" x14ac:dyDescent="0.2">
      <c r="A41" s="40" t="s">
        <v>95</v>
      </c>
      <c r="B41" s="3">
        <f>Parameters!C15</f>
        <v>0</v>
      </c>
      <c r="C41" s="2">
        <v>0.5</v>
      </c>
      <c r="D41" s="2">
        <f t="shared" si="0"/>
        <v>0</v>
      </c>
      <c r="I41" s="37"/>
    </row>
    <row r="42" spans="1:12" x14ac:dyDescent="0.2">
      <c r="A42" s="1" t="s">
        <v>63</v>
      </c>
      <c r="B42" s="3">
        <f>Parameters!C16</f>
        <v>0</v>
      </c>
      <c r="C42" s="2">
        <v>0.5</v>
      </c>
      <c r="D42" s="2">
        <f t="shared" si="0"/>
        <v>0</v>
      </c>
      <c r="L42" s="37"/>
    </row>
    <row r="43" spans="1:12" x14ac:dyDescent="0.2">
      <c r="A43" s="1" t="s">
        <v>64</v>
      </c>
      <c r="B43" s="3">
        <f>Parameters!C17</f>
        <v>0</v>
      </c>
      <c r="C43" s="2">
        <v>1</v>
      </c>
      <c r="D43" s="2">
        <f t="shared" si="0"/>
        <v>0</v>
      </c>
      <c r="L43" s="37"/>
    </row>
    <row r="44" spans="1:12" x14ac:dyDescent="0.2">
      <c r="A44" s="1" t="s">
        <v>51</v>
      </c>
      <c r="B44" s="3">
        <f>Parameters!C18</f>
        <v>0</v>
      </c>
      <c r="C44" s="2">
        <f>IF(H17&gt;2300,0.35,3.5)</f>
        <v>3.5</v>
      </c>
      <c r="D44" s="2">
        <f t="shared" si="0"/>
        <v>0</v>
      </c>
      <c r="F44" s="1" t="s">
        <v>89</v>
      </c>
      <c r="L44" s="37"/>
    </row>
    <row r="45" spans="1:12" x14ac:dyDescent="0.2">
      <c r="A45" s="1" t="s">
        <v>59</v>
      </c>
      <c r="B45" s="3">
        <f>Parameters!C19</f>
        <v>0</v>
      </c>
      <c r="C45" s="2">
        <v>1</v>
      </c>
      <c r="D45" s="2">
        <f t="shared" si="0"/>
        <v>0</v>
      </c>
      <c r="I45" s="37"/>
    </row>
    <row r="46" spans="1:12" x14ac:dyDescent="0.2">
      <c r="A46" s="1" t="s">
        <v>60</v>
      </c>
      <c r="B46" s="3">
        <f>Parameters!C20</f>
        <v>0</v>
      </c>
      <c r="C46" s="2">
        <v>0.1</v>
      </c>
      <c r="D46" s="2">
        <f t="shared" si="0"/>
        <v>0</v>
      </c>
      <c r="I46" s="37"/>
    </row>
    <row r="47" spans="1:12" x14ac:dyDescent="0.2">
      <c r="A47" s="1" t="s">
        <v>56</v>
      </c>
      <c r="B47" s="3">
        <f>Parameters!C21</f>
        <v>0</v>
      </c>
      <c r="C47" s="2">
        <v>1</v>
      </c>
      <c r="D47" s="2">
        <f t="shared" si="0"/>
        <v>0</v>
      </c>
      <c r="I47" s="37"/>
    </row>
    <row r="48" spans="1:12" x14ac:dyDescent="0.2">
      <c r="A48" s="1" t="s">
        <v>57</v>
      </c>
      <c r="B48" s="3">
        <f>Parameters!C22</f>
        <v>0</v>
      </c>
      <c r="C48" s="2">
        <v>6</v>
      </c>
      <c r="D48" s="2">
        <f t="shared" si="0"/>
        <v>0</v>
      </c>
      <c r="I48" s="37"/>
    </row>
    <row r="49" spans="1:9" x14ac:dyDescent="0.2">
      <c r="A49" s="1" t="s">
        <v>61</v>
      </c>
      <c r="B49" s="3">
        <f>Parameters!C23</f>
        <v>0</v>
      </c>
      <c r="C49" s="2">
        <v>0.2</v>
      </c>
      <c r="D49" s="2">
        <f t="shared" si="0"/>
        <v>0</v>
      </c>
      <c r="I49" s="37"/>
    </row>
    <row r="50" spans="1:9" x14ac:dyDescent="0.2">
      <c r="B50" s="38"/>
      <c r="C50" s="2"/>
      <c r="D50" s="2"/>
      <c r="I50" s="37"/>
    </row>
    <row r="51" spans="1:9" x14ac:dyDescent="0.2">
      <c r="A51" s="1" t="s">
        <v>46</v>
      </c>
      <c r="B51" s="2"/>
      <c r="C51" s="2"/>
      <c r="D51" s="2">
        <f>SUM(D37:D50)</f>
        <v>0</v>
      </c>
    </row>
  </sheetData>
  <phoneticPr fontId="4" type="noConversion"/>
  <conditionalFormatting sqref="D28">
    <cfRule type="cellIs" dxfId="61" priority="1" stopIfTrue="1" operator="lessThan">
      <formula>65</formula>
    </cfRule>
  </conditionalFormatting>
  <conditionalFormatting sqref="E7 E12 E10 K11 B37:B49">
    <cfRule type="cellIs" dxfId="60" priority="2" stopIfTrue="1" operator="notEqual">
      <formula>0</formula>
    </cfRule>
  </conditionalFormatting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>
    <pageSetUpPr fitToPage="1"/>
  </sheetPr>
  <dimension ref="A2:Q51"/>
  <sheetViews>
    <sheetView workbookViewId="0">
      <selection activeCell="L11" sqref="L11"/>
    </sheetView>
  </sheetViews>
  <sheetFormatPr defaultRowHeight="12.75" x14ac:dyDescent="0.2"/>
  <cols>
    <col min="1" max="1" width="12.140625" style="1" customWidth="1"/>
    <col min="2" max="3" width="9.140625" style="1"/>
    <col min="4" max="4" width="12.42578125" style="1" bestFit="1" customWidth="1"/>
    <col min="5" max="5" width="12" style="1" bestFit="1" customWidth="1"/>
    <col min="6" max="6" width="10.7109375" style="1" customWidth="1"/>
    <col min="7" max="7" width="12.42578125" style="1" bestFit="1" customWidth="1"/>
    <col min="8" max="9" width="9.42578125" style="1" customWidth="1"/>
    <col min="10" max="10" width="14.140625" style="1" bestFit="1" customWidth="1"/>
    <col min="11" max="11" width="5" style="1" bestFit="1" customWidth="1"/>
    <col min="12" max="12" width="14.85546875" style="1" bestFit="1" customWidth="1"/>
    <col min="13" max="13" width="3.7109375" style="1" bestFit="1" customWidth="1"/>
    <col min="14" max="14" width="8.85546875" style="1" bestFit="1" customWidth="1"/>
    <col min="15" max="15" width="3.7109375" style="1" bestFit="1" customWidth="1"/>
    <col min="16" max="16" width="7.42578125" style="1" bestFit="1" customWidth="1"/>
    <col min="17" max="17" width="3.7109375" style="1" bestFit="1" customWidth="1"/>
    <col min="18" max="18" width="6.85546875" style="1" bestFit="1" customWidth="1"/>
    <col min="19" max="16384" width="9.140625" style="1"/>
  </cols>
  <sheetData>
    <row r="2" spans="1:17" ht="15.75" x14ac:dyDescent="0.25">
      <c r="A2" s="22" t="s">
        <v>0</v>
      </c>
    </row>
    <row r="6" spans="1:17" x14ac:dyDescent="0.2">
      <c r="A6" s="26" t="s">
        <v>85</v>
      </c>
    </row>
    <row r="7" spans="1:17" x14ac:dyDescent="0.2">
      <c r="A7" s="25" t="s">
        <v>4</v>
      </c>
      <c r="E7" s="3">
        <f>Parameters!D7</f>
        <v>0</v>
      </c>
      <c r="F7" s="27" t="s">
        <v>86</v>
      </c>
    </row>
    <row r="8" spans="1:17" x14ac:dyDescent="0.2">
      <c r="A8" s="25" t="s">
        <v>5</v>
      </c>
      <c r="E8" s="27">
        <f>total!F18</f>
        <v>1025</v>
      </c>
      <c r="F8" s="27" t="s">
        <v>11</v>
      </c>
      <c r="Q8" s="28"/>
    </row>
    <row r="9" spans="1:17" x14ac:dyDescent="0.2">
      <c r="A9" s="25" t="s">
        <v>9</v>
      </c>
      <c r="E9" s="27">
        <f>total!F17</f>
        <v>1</v>
      </c>
      <c r="F9" s="27" t="s">
        <v>73</v>
      </c>
    </row>
    <row r="10" spans="1:17" x14ac:dyDescent="0.2">
      <c r="A10" s="25" t="s">
        <v>6</v>
      </c>
      <c r="E10" s="3">
        <f>Parameters!D8</f>
        <v>0</v>
      </c>
      <c r="F10" s="27" t="s">
        <v>12</v>
      </c>
    </row>
    <row r="11" spans="1:17" x14ac:dyDescent="0.2">
      <c r="A11" s="25" t="s">
        <v>7</v>
      </c>
      <c r="E11" s="27">
        <f>VLOOKUP(H11,'pipe dimensions'!A1:D21,K11+1)</f>
        <v>400</v>
      </c>
      <c r="F11" s="27" t="s">
        <v>13</v>
      </c>
      <c r="G11" s="28" t="s">
        <v>68</v>
      </c>
      <c r="H11" s="28">
        <v>400</v>
      </c>
      <c r="J11" s="1" t="s">
        <v>72</v>
      </c>
      <c r="K11" s="3">
        <f>Parameters!D10</f>
        <v>0</v>
      </c>
      <c r="L11" s="1" t="s">
        <v>74</v>
      </c>
    </row>
    <row r="12" spans="1:17" x14ac:dyDescent="0.2">
      <c r="A12" s="25" t="s">
        <v>14</v>
      </c>
      <c r="E12" s="3">
        <f>Parameters!D9</f>
        <v>0</v>
      </c>
      <c r="F12" s="27"/>
      <c r="G12" s="28" t="s">
        <v>24</v>
      </c>
      <c r="H12" s="28">
        <v>0.15</v>
      </c>
      <c r="I12" s="1" t="s">
        <v>13</v>
      </c>
      <c r="J12" s="28" t="s">
        <v>25</v>
      </c>
      <c r="K12" s="28">
        <v>0.02</v>
      </c>
      <c r="L12" s="1" t="s">
        <v>13</v>
      </c>
    </row>
    <row r="13" spans="1:17" x14ac:dyDescent="0.2">
      <c r="A13" s="25" t="s">
        <v>8</v>
      </c>
      <c r="E13" s="27">
        <f>IF(E10&gt;0,D51,0)</f>
        <v>0</v>
      </c>
      <c r="F13" s="27"/>
    </row>
    <row r="15" spans="1:17" x14ac:dyDescent="0.2">
      <c r="A15" s="25" t="s">
        <v>1</v>
      </c>
      <c r="H15" s="27"/>
    </row>
    <row r="16" spans="1:17" x14ac:dyDescent="0.2">
      <c r="A16" s="29" t="s">
        <v>3</v>
      </c>
      <c r="D16" s="25" t="s">
        <v>75</v>
      </c>
      <c r="H16" s="30">
        <f>E7/3600/(0.785*(0.001*E11)*(0.001*E11))</f>
        <v>0</v>
      </c>
      <c r="I16" s="27" t="s">
        <v>2</v>
      </c>
    </row>
    <row r="17" spans="1:12" x14ac:dyDescent="0.2">
      <c r="A17" s="29" t="s">
        <v>10</v>
      </c>
      <c r="D17" s="25" t="s">
        <v>76</v>
      </c>
      <c r="H17" s="30">
        <f>H16*0.001*E11/E9*1000000</f>
        <v>0</v>
      </c>
      <c r="I17" s="31">
        <f>H17</f>
        <v>0</v>
      </c>
    </row>
    <row r="18" spans="1:12" x14ac:dyDescent="0.2">
      <c r="A18" s="29" t="s">
        <v>32</v>
      </c>
      <c r="D18" s="25"/>
      <c r="H18" s="32">
        <f>H12/E11</f>
        <v>3.7500000000000001E-4</v>
      </c>
      <c r="I18" s="27"/>
    </row>
    <row r="19" spans="1:12" x14ac:dyDescent="0.2">
      <c r="A19" s="29" t="s">
        <v>26</v>
      </c>
      <c r="D19" s="25"/>
      <c r="H19" s="30">
        <f>H17*H12/E11</f>
        <v>0</v>
      </c>
      <c r="I19" s="27"/>
    </row>
    <row r="20" spans="1:12" x14ac:dyDescent="0.2">
      <c r="A20" s="29"/>
      <c r="D20" s="25"/>
      <c r="H20" s="30"/>
      <c r="I20" s="27"/>
    </row>
    <row r="21" spans="1:12" x14ac:dyDescent="0.2">
      <c r="A21" s="29" t="s">
        <v>78</v>
      </c>
      <c r="D21" s="1" t="s">
        <v>77</v>
      </c>
      <c r="H21" s="32">
        <f>IF((E7&gt;0),64/H17,0)</f>
        <v>0</v>
      </c>
      <c r="I21" s="27"/>
    </row>
    <row r="22" spans="1:12" x14ac:dyDescent="0.2">
      <c r="A22" s="29" t="s">
        <v>80</v>
      </c>
      <c r="D22" s="1" t="s">
        <v>79</v>
      </c>
      <c r="H22" s="32">
        <f>IF((E7&gt;0),(0.0055*(1+(20000*IF(E12&gt;1,K12/1000,H12/1000)/(0.001*E11)+1000000/H17)^0.333333)),0)</f>
        <v>0</v>
      </c>
      <c r="I22" s="27"/>
    </row>
    <row r="23" spans="1:12" x14ac:dyDescent="0.2">
      <c r="A23" s="1" t="s">
        <v>82</v>
      </c>
      <c r="D23" s="1" t="s">
        <v>81</v>
      </c>
      <c r="H23" s="33">
        <f>((IF(H17&gt;2320,H22,H21))*E10/(0.001*E11)+E13)*E8*H16*H16/(2*100000)</f>
        <v>0</v>
      </c>
      <c r="I23" s="27" t="s">
        <v>52</v>
      </c>
      <c r="J23" s="1" t="s">
        <v>19</v>
      </c>
    </row>
    <row r="24" spans="1:12" x14ac:dyDescent="0.2">
      <c r="H24" s="30">
        <f>+H23*100/(9.81)</f>
        <v>0</v>
      </c>
      <c r="I24" s="27" t="s">
        <v>15</v>
      </c>
      <c r="J24" s="1" t="s">
        <v>20</v>
      </c>
    </row>
    <row r="25" spans="1:12" x14ac:dyDescent="0.2">
      <c r="H25" s="27" t="s">
        <v>16</v>
      </c>
      <c r="I25" s="27"/>
    </row>
    <row r="26" spans="1:12" s="24" customFormat="1" hidden="1" x14ac:dyDescent="0.2"/>
    <row r="27" spans="1:12" hidden="1" x14ac:dyDescent="0.2"/>
    <row r="28" spans="1:12" hidden="1" x14ac:dyDescent="0.2">
      <c r="A28" s="1" t="s">
        <v>41</v>
      </c>
      <c r="D28" s="1" t="s">
        <v>18</v>
      </c>
      <c r="H28" s="1" t="s">
        <v>21</v>
      </c>
      <c r="L28" s="1" t="s">
        <v>23</v>
      </c>
    </row>
    <row r="29" spans="1:12" hidden="1" x14ac:dyDescent="0.2">
      <c r="D29" s="34" t="s">
        <v>22</v>
      </c>
      <c r="F29" s="1" t="s">
        <v>42</v>
      </c>
      <c r="H29" s="35" t="s">
        <v>35</v>
      </c>
      <c r="L29" s="36" t="s">
        <v>36</v>
      </c>
    </row>
    <row r="30" spans="1:12" hidden="1" x14ac:dyDescent="0.2">
      <c r="B30" s="1" t="s">
        <v>28</v>
      </c>
    </row>
    <row r="31" spans="1:12" hidden="1" x14ac:dyDescent="0.2">
      <c r="C31" s="1" t="s">
        <v>27</v>
      </c>
      <c r="D31" s="27" t="e">
        <f>0.3164*H17^-0.25</f>
        <v>#DIV/0!</v>
      </c>
      <c r="E31" s="1" t="s">
        <v>39</v>
      </c>
      <c r="F31" s="1" t="s">
        <v>43</v>
      </c>
      <c r="G31" s="1" t="s">
        <v>30</v>
      </c>
      <c r="H31" s="1">
        <f>(1/(2*LOG10((E11/H12))+1.14))^2</f>
        <v>1.5656541953882296E-2</v>
      </c>
      <c r="I31" s="1" t="s">
        <v>37</v>
      </c>
      <c r="K31" s="1" t="s">
        <v>34</v>
      </c>
      <c r="L31" s="1" t="e">
        <f>1/(-2*LOG10(H12/(3.72*E11)+2.51/H17*((H17*E11/H12)^0.0625)*(1/0.48)))^2</f>
        <v>#DIV/0!</v>
      </c>
    </row>
    <row r="32" spans="1:12" hidden="1" x14ac:dyDescent="0.2">
      <c r="C32" s="1" t="s">
        <v>29</v>
      </c>
      <c r="D32" s="1" t="e">
        <f>0.0032+0.221*H17^-0.237</f>
        <v>#DIV/0!</v>
      </c>
      <c r="E32" s="1" t="s">
        <v>37</v>
      </c>
      <c r="F32" s="1" t="s">
        <v>44</v>
      </c>
      <c r="G32" s="1" t="s">
        <v>31</v>
      </c>
      <c r="H32" s="1">
        <f>0.0055+0.15*(H12/E11)^(1/3)</f>
        <v>1.6316871777305564E-2</v>
      </c>
      <c r="I32" s="1" t="s">
        <v>38</v>
      </c>
    </row>
    <row r="33" spans="1:12" hidden="1" x14ac:dyDescent="0.2">
      <c r="C33" s="1" t="s">
        <v>33</v>
      </c>
      <c r="D33" s="1" t="e">
        <f>0.0054+0.3964/H17^0.3</f>
        <v>#DIV/0!</v>
      </c>
      <c r="E33" s="1" t="s">
        <v>40</v>
      </c>
      <c r="F33" s="1" t="s">
        <v>45</v>
      </c>
    </row>
    <row r="34" spans="1:12" hidden="1" x14ac:dyDescent="0.2"/>
    <row r="36" spans="1:12" x14ac:dyDescent="0.2">
      <c r="A36" s="25" t="s">
        <v>47</v>
      </c>
      <c r="B36" s="1" t="s">
        <v>49</v>
      </c>
      <c r="C36" s="1" t="s">
        <v>48</v>
      </c>
      <c r="D36" s="1" t="s">
        <v>50</v>
      </c>
      <c r="F36" s="1" t="s">
        <v>58</v>
      </c>
    </row>
    <row r="37" spans="1:12" x14ac:dyDescent="0.2">
      <c r="A37" s="29" t="s">
        <v>53</v>
      </c>
      <c r="B37" s="3">
        <f>Parameters!D11</f>
        <v>0</v>
      </c>
      <c r="C37" s="2">
        <v>5</v>
      </c>
      <c r="D37" s="2">
        <f t="shared" ref="D37:D49" si="0">B37*C37</f>
        <v>0</v>
      </c>
    </row>
    <row r="38" spans="1:12" x14ac:dyDescent="0.2">
      <c r="A38" s="29" t="s">
        <v>54</v>
      </c>
      <c r="B38" s="3">
        <f>Parameters!D12</f>
        <v>0</v>
      </c>
      <c r="C38" s="2">
        <v>0.5</v>
      </c>
      <c r="D38" s="2">
        <f t="shared" si="0"/>
        <v>0</v>
      </c>
      <c r="I38" s="37"/>
    </row>
    <row r="39" spans="1:12" x14ac:dyDescent="0.2">
      <c r="A39" s="29" t="s">
        <v>62</v>
      </c>
      <c r="B39" s="3">
        <f>Parameters!D13</f>
        <v>0</v>
      </c>
      <c r="C39" s="2">
        <v>4</v>
      </c>
      <c r="D39" s="2">
        <f t="shared" si="0"/>
        <v>0</v>
      </c>
      <c r="I39" s="37"/>
    </row>
    <row r="40" spans="1:12" x14ac:dyDescent="0.2">
      <c r="A40" s="1" t="s">
        <v>94</v>
      </c>
      <c r="B40" s="3">
        <f>Parameters!D14</f>
        <v>0</v>
      </c>
      <c r="C40" s="2">
        <v>5</v>
      </c>
      <c r="D40" s="2">
        <f t="shared" si="0"/>
        <v>0</v>
      </c>
      <c r="I40" s="37"/>
    </row>
    <row r="41" spans="1:12" x14ac:dyDescent="0.2">
      <c r="A41" s="40" t="s">
        <v>95</v>
      </c>
      <c r="B41" s="3">
        <f>Parameters!D15</f>
        <v>0</v>
      </c>
      <c r="C41" s="2">
        <v>0.5</v>
      </c>
      <c r="D41" s="2">
        <f t="shared" si="0"/>
        <v>0</v>
      </c>
      <c r="I41" s="37"/>
    </row>
    <row r="42" spans="1:12" x14ac:dyDescent="0.2">
      <c r="A42" s="1" t="s">
        <v>63</v>
      </c>
      <c r="B42" s="3">
        <f>Parameters!D16</f>
        <v>0</v>
      </c>
      <c r="C42" s="2">
        <v>0.5</v>
      </c>
      <c r="D42" s="2">
        <f t="shared" si="0"/>
        <v>0</v>
      </c>
      <c r="L42" s="37"/>
    </row>
    <row r="43" spans="1:12" x14ac:dyDescent="0.2">
      <c r="A43" s="1" t="s">
        <v>64</v>
      </c>
      <c r="B43" s="3">
        <f>Parameters!D17</f>
        <v>0</v>
      </c>
      <c r="C43" s="2">
        <v>1</v>
      </c>
      <c r="D43" s="2">
        <f t="shared" si="0"/>
        <v>0</v>
      </c>
      <c r="L43" s="37"/>
    </row>
    <row r="44" spans="1:12" x14ac:dyDescent="0.2">
      <c r="A44" s="1" t="s">
        <v>51</v>
      </c>
      <c r="B44" s="3">
        <f>Parameters!D18</f>
        <v>0</v>
      </c>
      <c r="C44" s="2">
        <f>IF(H17&gt;2300,0.35,3.5)</f>
        <v>3.5</v>
      </c>
      <c r="D44" s="2">
        <f t="shared" si="0"/>
        <v>0</v>
      </c>
      <c r="F44" s="1" t="s">
        <v>89</v>
      </c>
      <c r="L44" s="37"/>
    </row>
    <row r="45" spans="1:12" x14ac:dyDescent="0.2">
      <c r="A45" s="1" t="s">
        <v>59</v>
      </c>
      <c r="B45" s="3">
        <f>Parameters!D19</f>
        <v>0</v>
      </c>
      <c r="C45" s="2">
        <v>1</v>
      </c>
      <c r="D45" s="2">
        <f t="shared" si="0"/>
        <v>0</v>
      </c>
      <c r="I45" s="37"/>
    </row>
    <row r="46" spans="1:12" x14ac:dyDescent="0.2">
      <c r="A46" s="1" t="s">
        <v>60</v>
      </c>
      <c r="B46" s="3">
        <f>Parameters!D20</f>
        <v>0</v>
      </c>
      <c r="C46" s="2">
        <v>0.1</v>
      </c>
      <c r="D46" s="2">
        <f t="shared" si="0"/>
        <v>0</v>
      </c>
      <c r="I46" s="37"/>
    </row>
    <row r="47" spans="1:12" x14ac:dyDescent="0.2">
      <c r="A47" s="1" t="s">
        <v>56</v>
      </c>
      <c r="B47" s="3">
        <f>Parameters!D21</f>
        <v>0</v>
      </c>
      <c r="C47" s="2">
        <v>1</v>
      </c>
      <c r="D47" s="2">
        <f t="shared" si="0"/>
        <v>0</v>
      </c>
      <c r="I47" s="37"/>
    </row>
    <row r="48" spans="1:12" x14ac:dyDescent="0.2">
      <c r="A48" s="1" t="s">
        <v>57</v>
      </c>
      <c r="B48" s="3">
        <f>Parameters!D22</f>
        <v>0</v>
      </c>
      <c r="C48" s="2">
        <v>6</v>
      </c>
      <c r="D48" s="2">
        <f t="shared" si="0"/>
        <v>0</v>
      </c>
      <c r="I48" s="37"/>
    </row>
    <row r="49" spans="1:9" x14ac:dyDescent="0.2">
      <c r="A49" s="1" t="s">
        <v>61</v>
      </c>
      <c r="B49" s="3">
        <f>Parameters!D23</f>
        <v>0</v>
      </c>
      <c r="C49" s="2">
        <v>0.2</v>
      </c>
      <c r="D49" s="2">
        <f t="shared" si="0"/>
        <v>0</v>
      </c>
      <c r="I49" s="37"/>
    </row>
    <row r="50" spans="1:9" x14ac:dyDescent="0.2">
      <c r="B50" s="38"/>
      <c r="C50" s="2"/>
      <c r="D50" s="2"/>
      <c r="I50" s="37"/>
    </row>
    <row r="51" spans="1:9" x14ac:dyDescent="0.2">
      <c r="A51" s="1" t="s">
        <v>46</v>
      </c>
      <c r="B51" s="2"/>
      <c r="C51" s="2"/>
      <c r="D51" s="2">
        <f>SUM(D37:D50)</f>
        <v>0</v>
      </c>
    </row>
  </sheetData>
  <phoneticPr fontId="4" type="noConversion"/>
  <conditionalFormatting sqref="D28">
    <cfRule type="cellIs" dxfId="59" priority="1" stopIfTrue="1" operator="lessThan">
      <formula>65</formula>
    </cfRule>
  </conditionalFormatting>
  <conditionalFormatting sqref="E7 E12 E10 K11 B37:B49">
    <cfRule type="cellIs" dxfId="58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  <ignoredErrors>
    <ignoredError sqref="E7 E10 E12 B37:B38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>
    <pageSetUpPr fitToPage="1"/>
  </sheetPr>
  <dimension ref="A2:Q51"/>
  <sheetViews>
    <sheetView workbookViewId="0">
      <selection activeCell="K11" sqref="K11"/>
    </sheetView>
  </sheetViews>
  <sheetFormatPr defaultRowHeight="12.75" x14ac:dyDescent="0.2"/>
  <cols>
    <col min="1" max="1" width="12.140625" style="1" customWidth="1"/>
    <col min="2" max="3" width="9.140625" style="1"/>
    <col min="4" max="4" width="12.42578125" style="1" bestFit="1" customWidth="1"/>
    <col min="5" max="5" width="12" style="1" bestFit="1" customWidth="1"/>
    <col min="6" max="6" width="10.7109375" style="1" customWidth="1"/>
    <col min="7" max="7" width="12.42578125" style="1" bestFit="1" customWidth="1"/>
    <col min="8" max="9" width="9.42578125" style="1" customWidth="1"/>
    <col min="10" max="10" width="14.140625" style="1" bestFit="1" customWidth="1"/>
    <col min="11" max="11" width="5" style="1" bestFit="1" customWidth="1"/>
    <col min="12" max="12" width="14.85546875" style="1" bestFit="1" customWidth="1"/>
    <col min="13" max="13" width="3.7109375" style="1" bestFit="1" customWidth="1"/>
    <col min="14" max="14" width="8.85546875" style="1" bestFit="1" customWidth="1"/>
    <col min="15" max="15" width="3.7109375" style="1" bestFit="1" customWidth="1"/>
    <col min="16" max="16" width="7.42578125" style="1" bestFit="1" customWidth="1"/>
    <col min="17" max="17" width="3.7109375" style="1" bestFit="1" customWidth="1"/>
    <col min="18" max="18" width="6.85546875" style="1" bestFit="1" customWidth="1"/>
    <col min="19" max="16384" width="9.140625" style="1"/>
  </cols>
  <sheetData>
    <row r="2" spans="1:17" ht="15.75" x14ac:dyDescent="0.25">
      <c r="A2" s="22" t="s">
        <v>0</v>
      </c>
    </row>
    <row r="6" spans="1:17" x14ac:dyDescent="0.2">
      <c r="A6" s="26" t="s">
        <v>85</v>
      </c>
    </row>
    <row r="7" spans="1:17" x14ac:dyDescent="0.2">
      <c r="A7" s="25" t="s">
        <v>4</v>
      </c>
      <c r="E7" s="3">
        <f>Parameters!E7</f>
        <v>0</v>
      </c>
      <c r="F7" s="27" t="s">
        <v>86</v>
      </c>
    </row>
    <row r="8" spans="1:17" x14ac:dyDescent="0.2">
      <c r="A8" s="25" t="s">
        <v>5</v>
      </c>
      <c r="E8" s="27">
        <f>total!F18</f>
        <v>1025</v>
      </c>
      <c r="F8" s="27" t="s">
        <v>11</v>
      </c>
      <c r="Q8" s="28"/>
    </row>
    <row r="9" spans="1:17" x14ac:dyDescent="0.2">
      <c r="A9" s="25" t="s">
        <v>9</v>
      </c>
      <c r="E9" s="27">
        <f>total!F17</f>
        <v>1</v>
      </c>
      <c r="F9" s="27" t="s">
        <v>73</v>
      </c>
    </row>
    <row r="10" spans="1:17" x14ac:dyDescent="0.2">
      <c r="A10" s="25" t="s">
        <v>6</v>
      </c>
      <c r="E10" s="3">
        <f>Parameters!E8</f>
        <v>0</v>
      </c>
      <c r="F10" s="27" t="s">
        <v>12</v>
      </c>
    </row>
    <row r="11" spans="1:17" x14ac:dyDescent="0.2">
      <c r="A11" s="25" t="s">
        <v>7</v>
      </c>
      <c r="E11" s="27">
        <f>VLOOKUP(H11,'pipe dimensions'!A1:D21,K11+1)</f>
        <v>350</v>
      </c>
      <c r="F11" s="27" t="s">
        <v>13</v>
      </c>
      <c r="G11" s="28" t="s">
        <v>68</v>
      </c>
      <c r="H11" s="28">
        <v>350</v>
      </c>
      <c r="J11" s="1" t="s">
        <v>72</v>
      </c>
      <c r="K11" s="3">
        <f>Parameters!E10</f>
        <v>0</v>
      </c>
      <c r="L11" s="1" t="s">
        <v>74</v>
      </c>
    </row>
    <row r="12" spans="1:17" x14ac:dyDescent="0.2">
      <c r="A12" s="25" t="s">
        <v>14</v>
      </c>
      <c r="E12" s="3">
        <f>Parameters!E9</f>
        <v>0</v>
      </c>
      <c r="F12" s="27"/>
      <c r="G12" s="28" t="s">
        <v>24</v>
      </c>
      <c r="H12" s="28">
        <v>0.15</v>
      </c>
      <c r="I12" s="1" t="s">
        <v>13</v>
      </c>
      <c r="J12" s="28" t="s">
        <v>25</v>
      </c>
      <c r="K12" s="28">
        <v>0.02</v>
      </c>
      <c r="L12" s="1" t="s">
        <v>13</v>
      </c>
    </row>
    <row r="13" spans="1:17" x14ac:dyDescent="0.2">
      <c r="A13" s="25" t="s">
        <v>8</v>
      </c>
      <c r="E13" s="27">
        <f>IF(E10&gt;0,D51,0)</f>
        <v>0</v>
      </c>
      <c r="F13" s="27"/>
    </row>
    <row r="15" spans="1:17" x14ac:dyDescent="0.2">
      <c r="A15" s="25" t="s">
        <v>1</v>
      </c>
      <c r="H15" s="27"/>
    </row>
    <row r="16" spans="1:17" x14ac:dyDescent="0.2">
      <c r="A16" s="29" t="s">
        <v>3</v>
      </c>
      <c r="D16" s="25" t="s">
        <v>75</v>
      </c>
      <c r="H16" s="30">
        <f>E7/3600/(0.785*(0.001*E11)*(0.001*E11))</f>
        <v>0</v>
      </c>
      <c r="I16" s="27" t="s">
        <v>2</v>
      </c>
    </row>
    <row r="17" spans="1:12" x14ac:dyDescent="0.2">
      <c r="A17" s="29" t="s">
        <v>10</v>
      </c>
      <c r="D17" s="25" t="s">
        <v>76</v>
      </c>
      <c r="H17" s="30">
        <f>H16*0.001*E11/E9*1000000</f>
        <v>0</v>
      </c>
      <c r="I17" s="31">
        <f>H17</f>
        <v>0</v>
      </c>
    </row>
    <row r="18" spans="1:12" x14ac:dyDescent="0.2">
      <c r="A18" s="29" t="s">
        <v>32</v>
      </c>
      <c r="D18" s="25"/>
      <c r="H18" s="32">
        <f>H12/E11</f>
        <v>4.2857142857142855E-4</v>
      </c>
      <c r="I18" s="27"/>
    </row>
    <row r="19" spans="1:12" x14ac:dyDescent="0.2">
      <c r="A19" s="29" t="s">
        <v>26</v>
      </c>
      <c r="D19" s="25"/>
      <c r="H19" s="30">
        <f>H17*H12/E11</f>
        <v>0</v>
      </c>
      <c r="I19" s="27"/>
    </row>
    <row r="20" spans="1:12" x14ac:dyDescent="0.2">
      <c r="A20" s="29"/>
      <c r="D20" s="25"/>
      <c r="H20" s="30"/>
      <c r="I20" s="27"/>
    </row>
    <row r="21" spans="1:12" x14ac:dyDescent="0.2">
      <c r="A21" s="29" t="s">
        <v>78</v>
      </c>
      <c r="D21" s="1" t="s">
        <v>77</v>
      </c>
      <c r="H21" s="32">
        <f>IF((E7&gt;0),64/H17,0)</f>
        <v>0</v>
      </c>
      <c r="I21" s="27"/>
    </row>
    <row r="22" spans="1:12" x14ac:dyDescent="0.2">
      <c r="A22" s="29" t="s">
        <v>80</v>
      </c>
      <c r="D22" s="1" t="s">
        <v>79</v>
      </c>
      <c r="H22" s="32">
        <f>IF((E7&gt;0),(0.0055*(1+(20000*IF(E12&gt;1,K12/1000,H12/1000)/(0.001*E11)+1000000/H17)^0.333333)),0)</f>
        <v>0</v>
      </c>
      <c r="I22" s="27"/>
    </row>
    <row r="23" spans="1:12" x14ac:dyDescent="0.2">
      <c r="A23" s="1" t="s">
        <v>82</v>
      </c>
      <c r="D23" s="1" t="s">
        <v>81</v>
      </c>
      <c r="H23" s="33">
        <f>((IF(H17&gt;2320,H22,H21))*E10/(0.001*E11)+E13)*E8*H16*H16/(2*100000)</f>
        <v>0</v>
      </c>
      <c r="I23" s="27" t="s">
        <v>52</v>
      </c>
      <c r="J23" s="1" t="s">
        <v>19</v>
      </c>
    </row>
    <row r="24" spans="1:12" x14ac:dyDescent="0.2">
      <c r="H24" s="30">
        <f>+H23*100/(9.81)</f>
        <v>0</v>
      </c>
      <c r="I24" s="27" t="s">
        <v>15</v>
      </c>
      <c r="J24" s="1" t="s">
        <v>20</v>
      </c>
    </row>
    <row r="25" spans="1:12" x14ac:dyDescent="0.2">
      <c r="H25" s="27" t="s">
        <v>16</v>
      </c>
      <c r="I25" s="27"/>
    </row>
    <row r="26" spans="1:12" s="24" customFormat="1" hidden="1" x14ac:dyDescent="0.2"/>
    <row r="27" spans="1:12" hidden="1" x14ac:dyDescent="0.2"/>
    <row r="28" spans="1:12" hidden="1" x14ac:dyDescent="0.2">
      <c r="A28" s="1" t="s">
        <v>41</v>
      </c>
      <c r="D28" s="1" t="s">
        <v>18</v>
      </c>
      <c r="H28" s="1" t="s">
        <v>21</v>
      </c>
      <c r="L28" s="1" t="s">
        <v>23</v>
      </c>
    </row>
    <row r="29" spans="1:12" hidden="1" x14ac:dyDescent="0.2">
      <c r="D29" s="34" t="s">
        <v>22</v>
      </c>
      <c r="F29" s="1" t="s">
        <v>42</v>
      </c>
      <c r="H29" s="35" t="s">
        <v>35</v>
      </c>
      <c r="L29" s="36" t="s">
        <v>36</v>
      </c>
    </row>
    <row r="30" spans="1:12" hidden="1" x14ac:dyDescent="0.2">
      <c r="B30" s="1" t="s">
        <v>28</v>
      </c>
    </row>
    <row r="31" spans="1:12" hidden="1" x14ac:dyDescent="0.2">
      <c r="C31" s="1" t="s">
        <v>27</v>
      </c>
      <c r="D31" s="27" t="e">
        <f>0.3164*H17^-0.25</f>
        <v>#DIV/0!</v>
      </c>
      <c r="E31" s="1" t="s">
        <v>39</v>
      </c>
      <c r="F31" s="1" t="s">
        <v>43</v>
      </c>
      <c r="G31" s="1" t="s">
        <v>30</v>
      </c>
      <c r="H31" s="1">
        <f>(1/(2*LOG10((E11/H12))+1.14))^2</f>
        <v>1.6121064124121585E-2</v>
      </c>
      <c r="I31" s="1" t="s">
        <v>37</v>
      </c>
      <c r="K31" s="1" t="s">
        <v>34</v>
      </c>
      <c r="L31" s="1" t="e">
        <f>1/(-2*LOG10(H12/(3.72*E11)+2.51/H17*((H17*E11/H12)^0.0625)*(1/0.48)))^2</f>
        <v>#DIV/0!</v>
      </c>
    </row>
    <row r="32" spans="1:12" hidden="1" x14ac:dyDescent="0.2">
      <c r="C32" s="1" t="s">
        <v>29</v>
      </c>
      <c r="D32" s="1" t="e">
        <f>0.0032+0.221*H17^-0.237</f>
        <v>#DIV/0!</v>
      </c>
      <c r="E32" s="1" t="s">
        <v>37</v>
      </c>
      <c r="F32" s="1" t="s">
        <v>44</v>
      </c>
      <c r="G32" s="1" t="s">
        <v>31</v>
      </c>
      <c r="H32" s="1">
        <f>0.0055+0.15*(H12/E11)^(1/3)</f>
        <v>1.6809211616937308E-2</v>
      </c>
      <c r="I32" s="1" t="s">
        <v>38</v>
      </c>
    </row>
    <row r="33" spans="1:12" hidden="1" x14ac:dyDescent="0.2">
      <c r="C33" s="1" t="s">
        <v>33</v>
      </c>
      <c r="D33" s="1" t="e">
        <f>0.0054+0.3964/H17^0.3</f>
        <v>#DIV/0!</v>
      </c>
      <c r="E33" s="1" t="s">
        <v>40</v>
      </c>
      <c r="F33" s="1" t="s">
        <v>45</v>
      </c>
    </row>
    <row r="34" spans="1:12" hidden="1" x14ac:dyDescent="0.2"/>
    <row r="36" spans="1:12" x14ac:dyDescent="0.2">
      <c r="A36" s="25" t="s">
        <v>47</v>
      </c>
      <c r="B36" s="1" t="s">
        <v>49</v>
      </c>
      <c r="C36" s="1" t="s">
        <v>48</v>
      </c>
      <c r="D36" s="1" t="s">
        <v>50</v>
      </c>
      <c r="F36" s="1" t="s">
        <v>58</v>
      </c>
    </row>
    <row r="37" spans="1:12" x14ac:dyDescent="0.2">
      <c r="A37" s="29" t="s">
        <v>53</v>
      </c>
      <c r="B37" s="3">
        <f>Parameters!E11</f>
        <v>0</v>
      </c>
      <c r="C37" s="2">
        <v>5</v>
      </c>
      <c r="D37" s="2">
        <f t="shared" ref="D37:D49" si="0">B37*C37</f>
        <v>0</v>
      </c>
    </row>
    <row r="38" spans="1:12" x14ac:dyDescent="0.2">
      <c r="A38" s="29" t="s">
        <v>54</v>
      </c>
      <c r="B38" s="3">
        <f>Parameters!E12</f>
        <v>0</v>
      </c>
      <c r="C38" s="2">
        <v>0.5</v>
      </c>
      <c r="D38" s="2">
        <f t="shared" si="0"/>
        <v>0</v>
      </c>
      <c r="I38" s="37"/>
    </row>
    <row r="39" spans="1:12" x14ac:dyDescent="0.2">
      <c r="A39" s="29" t="s">
        <v>62</v>
      </c>
      <c r="B39" s="3">
        <f>Parameters!E13</f>
        <v>0</v>
      </c>
      <c r="C39" s="2">
        <v>4</v>
      </c>
      <c r="D39" s="2">
        <f t="shared" si="0"/>
        <v>0</v>
      </c>
      <c r="I39" s="37"/>
    </row>
    <row r="40" spans="1:12" x14ac:dyDescent="0.2">
      <c r="A40" s="1" t="s">
        <v>94</v>
      </c>
      <c r="B40" s="3">
        <f>Parameters!E14</f>
        <v>0</v>
      </c>
      <c r="C40" s="2">
        <v>5</v>
      </c>
      <c r="D40" s="2">
        <f t="shared" si="0"/>
        <v>0</v>
      </c>
      <c r="I40" s="37"/>
    </row>
    <row r="41" spans="1:12" x14ac:dyDescent="0.2">
      <c r="A41" s="40" t="s">
        <v>95</v>
      </c>
      <c r="B41" s="3">
        <f>Parameters!E15</f>
        <v>0</v>
      </c>
      <c r="C41" s="2">
        <v>0.5</v>
      </c>
      <c r="D41" s="2">
        <f t="shared" si="0"/>
        <v>0</v>
      </c>
      <c r="I41" s="37"/>
    </row>
    <row r="42" spans="1:12" x14ac:dyDescent="0.2">
      <c r="A42" s="1" t="s">
        <v>63</v>
      </c>
      <c r="B42" s="3">
        <f>Parameters!E16</f>
        <v>0</v>
      </c>
      <c r="C42" s="2">
        <v>0.5</v>
      </c>
      <c r="D42" s="2">
        <f t="shared" si="0"/>
        <v>0</v>
      </c>
      <c r="L42" s="37"/>
    </row>
    <row r="43" spans="1:12" x14ac:dyDescent="0.2">
      <c r="A43" s="1" t="s">
        <v>64</v>
      </c>
      <c r="B43" s="3">
        <f>Parameters!E17</f>
        <v>0</v>
      </c>
      <c r="C43" s="2">
        <v>1</v>
      </c>
      <c r="D43" s="2">
        <f t="shared" si="0"/>
        <v>0</v>
      </c>
      <c r="L43" s="37"/>
    </row>
    <row r="44" spans="1:12" x14ac:dyDescent="0.2">
      <c r="A44" s="1" t="s">
        <v>51</v>
      </c>
      <c r="B44" s="3">
        <f>Parameters!E18</f>
        <v>0</v>
      </c>
      <c r="C44" s="2">
        <f>IF(H17&gt;2300,0.35,3.5)</f>
        <v>3.5</v>
      </c>
      <c r="D44" s="2">
        <f t="shared" si="0"/>
        <v>0</v>
      </c>
      <c r="F44" s="1" t="s">
        <v>89</v>
      </c>
      <c r="L44" s="37"/>
    </row>
    <row r="45" spans="1:12" x14ac:dyDescent="0.2">
      <c r="A45" s="1" t="s">
        <v>59</v>
      </c>
      <c r="B45" s="3">
        <f>Parameters!E19</f>
        <v>0</v>
      </c>
      <c r="C45" s="2">
        <v>1</v>
      </c>
      <c r="D45" s="2">
        <f t="shared" si="0"/>
        <v>0</v>
      </c>
      <c r="I45" s="37"/>
    </row>
    <row r="46" spans="1:12" x14ac:dyDescent="0.2">
      <c r="A46" s="1" t="s">
        <v>60</v>
      </c>
      <c r="B46" s="3">
        <f>Parameters!E20</f>
        <v>0</v>
      </c>
      <c r="C46" s="2">
        <v>0.1</v>
      </c>
      <c r="D46" s="2">
        <f t="shared" si="0"/>
        <v>0</v>
      </c>
      <c r="I46" s="37"/>
    </row>
    <row r="47" spans="1:12" x14ac:dyDescent="0.2">
      <c r="A47" s="1" t="s">
        <v>56</v>
      </c>
      <c r="B47" s="3">
        <f>Parameters!E21</f>
        <v>0</v>
      </c>
      <c r="C47" s="2">
        <v>1</v>
      </c>
      <c r="D47" s="2">
        <f t="shared" si="0"/>
        <v>0</v>
      </c>
      <c r="I47" s="37"/>
    </row>
    <row r="48" spans="1:12" x14ac:dyDescent="0.2">
      <c r="A48" s="1" t="s">
        <v>57</v>
      </c>
      <c r="B48" s="3">
        <f>Parameters!E22</f>
        <v>0</v>
      </c>
      <c r="C48" s="2">
        <v>6</v>
      </c>
      <c r="D48" s="2">
        <f t="shared" si="0"/>
        <v>0</v>
      </c>
      <c r="I48" s="37"/>
    </row>
    <row r="49" spans="1:9" x14ac:dyDescent="0.2">
      <c r="A49" s="1" t="s">
        <v>61</v>
      </c>
      <c r="B49" s="3">
        <f>Parameters!E23</f>
        <v>0</v>
      </c>
      <c r="C49" s="2">
        <v>0.2</v>
      </c>
      <c r="D49" s="2">
        <f t="shared" si="0"/>
        <v>0</v>
      </c>
      <c r="I49" s="37"/>
    </row>
    <row r="50" spans="1:9" x14ac:dyDescent="0.2">
      <c r="B50" s="38"/>
      <c r="C50" s="2"/>
      <c r="D50" s="2"/>
      <c r="I50" s="37"/>
    </row>
    <row r="51" spans="1:9" x14ac:dyDescent="0.2">
      <c r="A51" s="1" t="s">
        <v>46</v>
      </c>
      <c r="B51" s="2"/>
      <c r="C51" s="2"/>
      <c r="D51" s="2">
        <f>SUM(D37:D50)</f>
        <v>0</v>
      </c>
    </row>
  </sheetData>
  <phoneticPr fontId="4" type="noConversion"/>
  <conditionalFormatting sqref="D28">
    <cfRule type="cellIs" dxfId="57" priority="1" stopIfTrue="1" operator="lessThan">
      <formula>65</formula>
    </cfRule>
  </conditionalFormatting>
  <conditionalFormatting sqref="E7 E12 E10 K11 B37:B49">
    <cfRule type="cellIs" dxfId="56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>
    <pageSetUpPr fitToPage="1"/>
  </sheetPr>
  <dimension ref="A2:Q51"/>
  <sheetViews>
    <sheetView workbookViewId="0">
      <selection activeCell="C45" sqref="C45"/>
    </sheetView>
  </sheetViews>
  <sheetFormatPr defaultRowHeight="12.75" x14ac:dyDescent="0.2"/>
  <cols>
    <col min="1" max="1" width="12.140625" style="1" customWidth="1"/>
    <col min="2" max="3" width="9.140625" style="1"/>
    <col min="4" max="4" width="12.42578125" style="1" bestFit="1" customWidth="1"/>
    <col min="5" max="5" width="12" style="1" bestFit="1" customWidth="1"/>
    <col min="6" max="6" width="10.7109375" style="1" customWidth="1"/>
    <col min="7" max="7" width="12.42578125" style="1" bestFit="1" customWidth="1"/>
    <col min="8" max="9" width="9.42578125" style="1" customWidth="1"/>
    <col min="10" max="10" width="14.140625" style="1" bestFit="1" customWidth="1"/>
    <col min="11" max="11" width="5" style="1" bestFit="1" customWidth="1"/>
    <col min="12" max="12" width="14.85546875" style="1" bestFit="1" customWidth="1"/>
    <col min="13" max="13" width="3.7109375" style="1" bestFit="1" customWidth="1"/>
    <col min="14" max="14" width="8.85546875" style="1" bestFit="1" customWidth="1"/>
    <col min="15" max="15" width="3.7109375" style="1" bestFit="1" customWidth="1"/>
    <col min="16" max="16" width="7.42578125" style="1" bestFit="1" customWidth="1"/>
    <col min="17" max="17" width="3.7109375" style="1" bestFit="1" customWidth="1"/>
    <col min="18" max="18" width="6.85546875" style="1" bestFit="1" customWidth="1"/>
    <col min="19" max="16384" width="9.140625" style="1"/>
  </cols>
  <sheetData>
    <row r="2" spans="1:17" ht="15.75" x14ac:dyDescent="0.25">
      <c r="A2" s="22" t="s">
        <v>0</v>
      </c>
    </row>
    <row r="6" spans="1:17" x14ac:dyDescent="0.2">
      <c r="A6" s="26" t="s">
        <v>85</v>
      </c>
    </row>
    <row r="7" spans="1:17" x14ac:dyDescent="0.2">
      <c r="A7" s="25" t="s">
        <v>4</v>
      </c>
      <c r="E7" s="3">
        <f>Parameters!F7</f>
        <v>0</v>
      </c>
      <c r="F7" s="27" t="s">
        <v>86</v>
      </c>
    </row>
    <row r="8" spans="1:17" x14ac:dyDescent="0.2">
      <c r="A8" s="25" t="s">
        <v>5</v>
      </c>
      <c r="E8" s="27">
        <f>total!F18</f>
        <v>1025</v>
      </c>
      <c r="F8" s="27" t="s">
        <v>11</v>
      </c>
      <c r="Q8" s="28"/>
    </row>
    <row r="9" spans="1:17" x14ac:dyDescent="0.2">
      <c r="A9" s="25" t="s">
        <v>9</v>
      </c>
      <c r="E9" s="27">
        <f>total!F17</f>
        <v>1</v>
      </c>
      <c r="F9" s="27" t="s">
        <v>73</v>
      </c>
    </row>
    <row r="10" spans="1:17" x14ac:dyDescent="0.2">
      <c r="A10" s="25" t="s">
        <v>6</v>
      </c>
      <c r="E10" s="3">
        <f>Parameters!F8</f>
        <v>0</v>
      </c>
      <c r="F10" s="27" t="s">
        <v>12</v>
      </c>
    </row>
    <row r="11" spans="1:17" x14ac:dyDescent="0.2">
      <c r="A11" s="25" t="s">
        <v>7</v>
      </c>
      <c r="E11" s="27">
        <f>VLOOKUP(H11,'pipe dimensions'!A1:D21,K11+1)</f>
        <v>300</v>
      </c>
      <c r="F11" s="27" t="s">
        <v>13</v>
      </c>
      <c r="G11" s="28" t="s">
        <v>68</v>
      </c>
      <c r="H11" s="28">
        <v>300</v>
      </c>
      <c r="J11" s="1" t="s">
        <v>72</v>
      </c>
      <c r="K11" s="3">
        <f>Parameters!F10</f>
        <v>0</v>
      </c>
      <c r="L11" s="1" t="s">
        <v>74</v>
      </c>
    </row>
    <row r="12" spans="1:17" x14ac:dyDescent="0.2">
      <c r="A12" s="25" t="s">
        <v>14</v>
      </c>
      <c r="E12" s="3">
        <f>Parameters!F9</f>
        <v>0</v>
      </c>
      <c r="F12" s="27"/>
      <c r="G12" s="28" t="s">
        <v>24</v>
      </c>
      <c r="H12" s="28">
        <v>0.15</v>
      </c>
      <c r="I12" s="1" t="s">
        <v>13</v>
      </c>
      <c r="J12" s="28" t="s">
        <v>25</v>
      </c>
      <c r="K12" s="28">
        <v>0.02</v>
      </c>
      <c r="L12" s="1" t="s">
        <v>13</v>
      </c>
    </row>
    <row r="13" spans="1:17" x14ac:dyDescent="0.2">
      <c r="A13" s="25" t="s">
        <v>8</v>
      </c>
      <c r="E13" s="27">
        <f>IF(E10&gt;0,D51,0)</f>
        <v>0</v>
      </c>
      <c r="F13" s="27"/>
    </row>
    <row r="15" spans="1:17" x14ac:dyDescent="0.2">
      <c r="A15" s="25" t="s">
        <v>1</v>
      </c>
      <c r="H15" s="27"/>
    </row>
    <row r="16" spans="1:17" x14ac:dyDescent="0.2">
      <c r="A16" s="29" t="s">
        <v>3</v>
      </c>
      <c r="D16" s="25" t="s">
        <v>75</v>
      </c>
      <c r="H16" s="30">
        <f>E7/3600/(0.785*(0.001*E11)*(0.001*E11))</f>
        <v>0</v>
      </c>
      <c r="I16" s="27" t="s">
        <v>2</v>
      </c>
    </row>
    <row r="17" spans="1:12" x14ac:dyDescent="0.2">
      <c r="A17" s="29" t="s">
        <v>10</v>
      </c>
      <c r="D17" s="25" t="s">
        <v>76</v>
      </c>
      <c r="H17" s="30">
        <f>H16*0.001*E11/E9*1000000</f>
        <v>0</v>
      </c>
      <c r="I17" s="31">
        <f>H17</f>
        <v>0</v>
      </c>
    </row>
    <row r="18" spans="1:12" x14ac:dyDescent="0.2">
      <c r="A18" s="29" t="s">
        <v>32</v>
      </c>
      <c r="D18" s="25"/>
      <c r="H18" s="32">
        <f>H12/E11</f>
        <v>5.0000000000000001E-4</v>
      </c>
      <c r="I18" s="27"/>
    </row>
    <row r="19" spans="1:12" x14ac:dyDescent="0.2">
      <c r="A19" s="29" t="s">
        <v>26</v>
      </c>
      <c r="D19" s="25"/>
      <c r="H19" s="30">
        <f>H17*H12/E11</f>
        <v>0</v>
      </c>
      <c r="I19" s="27"/>
    </row>
    <row r="20" spans="1:12" x14ac:dyDescent="0.2">
      <c r="A20" s="29"/>
      <c r="D20" s="25"/>
      <c r="H20" s="30"/>
      <c r="I20" s="27"/>
    </row>
    <row r="21" spans="1:12" x14ac:dyDescent="0.2">
      <c r="A21" s="29" t="s">
        <v>78</v>
      </c>
      <c r="D21" s="1" t="s">
        <v>77</v>
      </c>
      <c r="H21" s="32">
        <f>IF((E7&gt;0),64/H17,0)</f>
        <v>0</v>
      </c>
      <c r="I21" s="27"/>
    </row>
    <row r="22" spans="1:12" x14ac:dyDescent="0.2">
      <c r="A22" s="29" t="s">
        <v>80</v>
      </c>
      <c r="D22" s="1" t="s">
        <v>79</v>
      </c>
      <c r="H22" s="32">
        <f>IF((E7&gt;0),(0.0055*(1+(20000*IF(E12&gt;1,K12/1000,H12/1000)/(0.001*E11)+1000000/H17)^0.333333)),0)</f>
        <v>0</v>
      </c>
      <c r="I22" s="27"/>
    </row>
    <row r="23" spans="1:12" x14ac:dyDescent="0.2">
      <c r="A23" s="1" t="s">
        <v>82</v>
      </c>
      <c r="D23" s="1" t="s">
        <v>81</v>
      </c>
      <c r="H23" s="33">
        <f>((IF(H17&gt;2320,H22,H21))*E10/(0.001*E11)+E13)*E8*H16*H16/(2*100000)</f>
        <v>0</v>
      </c>
      <c r="I23" s="27" t="s">
        <v>52</v>
      </c>
      <c r="J23" s="1" t="s">
        <v>19</v>
      </c>
    </row>
    <row r="24" spans="1:12" x14ac:dyDescent="0.2">
      <c r="H24" s="30">
        <f>+H23*100/(9.81)</f>
        <v>0</v>
      </c>
      <c r="I24" s="27" t="s">
        <v>15</v>
      </c>
      <c r="J24" s="1" t="s">
        <v>20</v>
      </c>
    </row>
    <row r="25" spans="1:12" x14ac:dyDescent="0.2">
      <c r="H25" s="27" t="s">
        <v>16</v>
      </c>
      <c r="I25" s="27"/>
    </row>
    <row r="26" spans="1:12" s="24" customFormat="1" hidden="1" x14ac:dyDescent="0.2"/>
    <row r="27" spans="1:12" hidden="1" x14ac:dyDescent="0.2"/>
    <row r="28" spans="1:12" hidden="1" x14ac:dyDescent="0.2">
      <c r="A28" s="1" t="s">
        <v>41</v>
      </c>
      <c r="D28" s="1" t="s">
        <v>18</v>
      </c>
      <c r="H28" s="1" t="s">
        <v>21</v>
      </c>
      <c r="L28" s="1" t="s">
        <v>23</v>
      </c>
    </row>
    <row r="29" spans="1:12" hidden="1" x14ac:dyDescent="0.2">
      <c r="D29" s="34" t="s">
        <v>22</v>
      </c>
      <c r="F29" s="1" t="s">
        <v>42</v>
      </c>
      <c r="H29" s="35" t="s">
        <v>35</v>
      </c>
      <c r="L29" s="36" t="s">
        <v>36</v>
      </c>
    </row>
    <row r="30" spans="1:12" hidden="1" x14ac:dyDescent="0.2">
      <c r="B30" s="1" t="s">
        <v>28</v>
      </c>
    </row>
    <row r="31" spans="1:12" hidden="1" x14ac:dyDescent="0.2">
      <c r="C31" s="1" t="s">
        <v>27</v>
      </c>
      <c r="D31" s="27" t="e">
        <f>0.3164*H17^-0.25</f>
        <v>#DIV/0!</v>
      </c>
      <c r="E31" s="1" t="s">
        <v>39</v>
      </c>
      <c r="F31" s="1" t="s">
        <v>43</v>
      </c>
      <c r="G31" s="1" t="s">
        <v>30</v>
      </c>
      <c r="H31" s="1">
        <f>(1/(2*LOG10((E11/H12))+1.14))^2</f>
        <v>1.6683491158539499E-2</v>
      </c>
      <c r="I31" s="1" t="s">
        <v>37</v>
      </c>
      <c r="K31" s="1" t="s">
        <v>34</v>
      </c>
      <c r="L31" s="1" t="e">
        <f>1/(-2*LOG10(H12/(3.72*E11)+2.51/H17*((H17*E11/H12)^0.0625)*(1/0.48)))^2</f>
        <v>#DIV/0!</v>
      </c>
    </row>
    <row r="32" spans="1:12" hidden="1" x14ac:dyDescent="0.2">
      <c r="C32" s="1" t="s">
        <v>29</v>
      </c>
      <c r="D32" s="1" t="e">
        <f>0.0032+0.221*H17^-0.237</f>
        <v>#DIV/0!</v>
      </c>
      <c r="E32" s="1" t="s">
        <v>37</v>
      </c>
      <c r="F32" s="1" t="s">
        <v>44</v>
      </c>
      <c r="G32" s="1" t="s">
        <v>31</v>
      </c>
      <c r="H32" s="1">
        <f>0.0055+0.15*(H12/E11)^(1/3)</f>
        <v>1.7405507889761494E-2</v>
      </c>
      <c r="I32" s="1" t="s">
        <v>38</v>
      </c>
    </row>
    <row r="33" spans="1:12" hidden="1" x14ac:dyDescent="0.2">
      <c r="C33" s="1" t="s">
        <v>33</v>
      </c>
      <c r="D33" s="1" t="e">
        <f>0.0054+0.3964/H17^0.3</f>
        <v>#DIV/0!</v>
      </c>
      <c r="E33" s="1" t="s">
        <v>40</v>
      </c>
      <c r="F33" s="1" t="s">
        <v>45</v>
      </c>
    </row>
    <row r="34" spans="1:12" hidden="1" x14ac:dyDescent="0.2"/>
    <row r="36" spans="1:12" x14ac:dyDescent="0.2">
      <c r="A36" s="25" t="s">
        <v>47</v>
      </c>
      <c r="B36" s="1" t="s">
        <v>49</v>
      </c>
      <c r="C36" s="1" t="s">
        <v>48</v>
      </c>
      <c r="D36" s="1" t="s">
        <v>50</v>
      </c>
      <c r="F36" s="1" t="s">
        <v>58</v>
      </c>
    </row>
    <row r="37" spans="1:12" x14ac:dyDescent="0.2">
      <c r="A37" s="29" t="s">
        <v>53</v>
      </c>
      <c r="B37" s="3">
        <f>Parameters!F11</f>
        <v>0</v>
      </c>
      <c r="C37" s="2">
        <v>5</v>
      </c>
      <c r="D37" s="2">
        <f t="shared" ref="D37:D49" si="0">B37*C37</f>
        <v>0</v>
      </c>
    </row>
    <row r="38" spans="1:12" x14ac:dyDescent="0.2">
      <c r="A38" s="29" t="s">
        <v>54</v>
      </c>
      <c r="B38" s="3">
        <f>Parameters!F12</f>
        <v>0</v>
      </c>
      <c r="C38" s="2">
        <v>0.5</v>
      </c>
      <c r="D38" s="2">
        <f t="shared" si="0"/>
        <v>0</v>
      </c>
      <c r="I38" s="37"/>
    </row>
    <row r="39" spans="1:12" x14ac:dyDescent="0.2">
      <c r="A39" s="29" t="s">
        <v>62</v>
      </c>
      <c r="B39" s="3">
        <f>Parameters!F13</f>
        <v>0</v>
      </c>
      <c r="C39" s="2">
        <v>4</v>
      </c>
      <c r="D39" s="2">
        <f t="shared" si="0"/>
        <v>0</v>
      </c>
      <c r="I39" s="37"/>
    </row>
    <row r="40" spans="1:12" x14ac:dyDescent="0.2">
      <c r="A40" s="1" t="s">
        <v>94</v>
      </c>
      <c r="B40" s="3">
        <f>Parameters!F14</f>
        <v>0</v>
      </c>
      <c r="C40" s="2">
        <v>5</v>
      </c>
      <c r="D40" s="2">
        <f t="shared" si="0"/>
        <v>0</v>
      </c>
      <c r="I40" s="37"/>
    </row>
    <row r="41" spans="1:12" x14ac:dyDescent="0.2">
      <c r="A41" s="40" t="s">
        <v>95</v>
      </c>
      <c r="B41" s="3">
        <f>Parameters!F15</f>
        <v>0</v>
      </c>
      <c r="C41" s="2">
        <v>0.5</v>
      </c>
      <c r="D41" s="2">
        <f t="shared" si="0"/>
        <v>0</v>
      </c>
      <c r="I41" s="37"/>
    </row>
    <row r="42" spans="1:12" x14ac:dyDescent="0.2">
      <c r="A42" s="1" t="s">
        <v>63</v>
      </c>
      <c r="B42" s="3">
        <f>Parameters!F16</f>
        <v>0</v>
      </c>
      <c r="C42" s="2">
        <v>0.5</v>
      </c>
      <c r="D42" s="2">
        <f t="shared" si="0"/>
        <v>0</v>
      </c>
      <c r="L42" s="37"/>
    </row>
    <row r="43" spans="1:12" x14ac:dyDescent="0.2">
      <c r="A43" s="1" t="s">
        <v>64</v>
      </c>
      <c r="B43" s="3">
        <f>Parameters!F17</f>
        <v>0</v>
      </c>
      <c r="C43" s="2">
        <v>1</v>
      </c>
      <c r="D43" s="2">
        <f t="shared" si="0"/>
        <v>0</v>
      </c>
      <c r="L43" s="37"/>
    </row>
    <row r="44" spans="1:12" x14ac:dyDescent="0.2">
      <c r="A44" s="1" t="s">
        <v>51</v>
      </c>
      <c r="B44" s="3">
        <f>Parameters!F18</f>
        <v>0</v>
      </c>
      <c r="C44" s="2">
        <f>IF(H17&gt;2300,0.35,3.5)</f>
        <v>3.5</v>
      </c>
      <c r="D44" s="2">
        <f t="shared" si="0"/>
        <v>0</v>
      </c>
      <c r="F44" s="1" t="s">
        <v>89</v>
      </c>
      <c r="L44" s="37"/>
    </row>
    <row r="45" spans="1:12" x14ac:dyDescent="0.2">
      <c r="A45" s="1" t="s">
        <v>59</v>
      </c>
      <c r="B45" s="3">
        <f>Parameters!F19</f>
        <v>0</v>
      </c>
      <c r="C45" s="2">
        <v>1</v>
      </c>
      <c r="D45" s="2">
        <f t="shared" si="0"/>
        <v>0</v>
      </c>
      <c r="I45" s="37"/>
    </row>
    <row r="46" spans="1:12" x14ac:dyDescent="0.2">
      <c r="A46" s="1" t="s">
        <v>60</v>
      </c>
      <c r="B46" s="3">
        <f>Parameters!F20</f>
        <v>0</v>
      </c>
      <c r="C46" s="2">
        <v>0.1</v>
      </c>
      <c r="D46" s="2">
        <f t="shared" si="0"/>
        <v>0</v>
      </c>
      <c r="I46" s="37"/>
    </row>
    <row r="47" spans="1:12" x14ac:dyDescent="0.2">
      <c r="A47" s="1" t="s">
        <v>56</v>
      </c>
      <c r="B47" s="3">
        <f>Parameters!F21</f>
        <v>0</v>
      </c>
      <c r="C47" s="2">
        <v>1</v>
      </c>
      <c r="D47" s="2">
        <f t="shared" si="0"/>
        <v>0</v>
      </c>
      <c r="I47" s="37"/>
    </row>
    <row r="48" spans="1:12" x14ac:dyDescent="0.2">
      <c r="A48" s="1" t="s">
        <v>57</v>
      </c>
      <c r="B48" s="3">
        <f>Parameters!F22</f>
        <v>0</v>
      </c>
      <c r="C48" s="2">
        <v>6</v>
      </c>
      <c r="D48" s="2">
        <f t="shared" si="0"/>
        <v>0</v>
      </c>
      <c r="I48" s="37"/>
    </row>
    <row r="49" spans="1:9" x14ac:dyDescent="0.2">
      <c r="A49" s="1" t="s">
        <v>61</v>
      </c>
      <c r="B49" s="3">
        <f>Parameters!F23</f>
        <v>0</v>
      </c>
      <c r="C49" s="2">
        <v>0.2</v>
      </c>
      <c r="D49" s="2">
        <f t="shared" si="0"/>
        <v>0</v>
      </c>
      <c r="I49" s="37"/>
    </row>
    <row r="50" spans="1:9" x14ac:dyDescent="0.2">
      <c r="B50" s="38"/>
      <c r="C50" s="2"/>
      <c r="D50" s="2"/>
      <c r="I50" s="37"/>
    </row>
    <row r="51" spans="1:9" x14ac:dyDescent="0.2">
      <c r="A51" s="1" t="s">
        <v>46</v>
      </c>
      <c r="B51" s="2"/>
      <c r="C51" s="2"/>
      <c r="D51" s="2">
        <f>SUM(D37:D50)</f>
        <v>0</v>
      </c>
    </row>
  </sheetData>
  <phoneticPr fontId="4" type="noConversion"/>
  <conditionalFormatting sqref="D28">
    <cfRule type="cellIs" dxfId="55" priority="1" stopIfTrue="1" operator="lessThan">
      <formula>65</formula>
    </cfRule>
  </conditionalFormatting>
  <conditionalFormatting sqref="E7 E12 E10 K11 B37:B49">
    <cfRule type="cellIs" dxfId="54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>
    <pageSetUpPr fitToPage="1"/>
  </sheetPr>
  <dimension ref="A2:Q51"/>
  <sheetViews>
    <sheetView workbookViewId="0">
      <selection activeCell="C45" sqref="C45"/>
    </sheetView>
  </sheetViews>
  <sheetFormatPr defaultRowHeight="12.75" x14ac:dyDescent="0.2"/>
  <cols>
    <col min="1" max="1" width="12.140625" style="1" customWidth="1"/>
    <col min="2" max="3" width="9.140625" style="1"/>
    <col min="4" max="4" width="12.42578125" style="1" bestFit="1" customWidth="1"/>
    <col min="5" max="5" width="12" style="1" bestFit="1" customWidth="1"/>
    <col min="6" max="6" width="10.7109375" style="1" customWidth="1"/>
    <col min="7" max="7" width="12.42578125" style="1" bestFit="1" customWidth="1"/>
    <col min="8" max="9" width="9.42578125" style="1" customWidth="1"/>
    <col min="10" max="10" width="14.140625" style="1" bestFit="1" customWidth="1"/>
    <col min="11" max="11" width="5" style="1" bestFit="1" customWidth="1"/>
    <col min="12" max="12" width="14.85546875" style="1" bestFit="1" customWidth="1"/>
    <col min="13" max="13" width="3.7109375" style="1" bestFit="1" customWidth="1"/>
    <col min="14" max="14" width="8.85546875" style="1" bestFit="1" customWidth="1"/>
    <col min="15" max="15" width="3.7109375" style="1" bestFit="1" customWidth="1"/>
    <col min="16" max="16" width="7.42578125" style="1" bestFit="1" customWidth="1"/>
    <col min="17" max="17" width="3.7109375" style="1" bestFit="1" customWidth="1"/>
    <col min="18" max="18" width="6.85546875" style="1" bestFit="1" customWidth="1"/>
    <col min="19" max="16384" width="9.140625" style="1"/>
  </cols>
  <sheetData>
    <row r="2" spans="1:17" ht="15.75" x14ac:dyDescent="0.25">
      <c r="A2" s="22" t="s">
        <v>0</v>
      </c>
    </row>
    <row r="6" spans="1:17" x14ac:dyDescent="0.2">
      <c r="A6" s="26" t="s">
        <v>85</v>
      </c>
    </row>
    <row r="7" spans="1:17" x14ac:dyDescent="0.2">
      <c r="A7" s="25" t="s">
        <v>4</v>
      </c>
      <c r="E7" s="3">
        <f>Parameters!G7</f>
        <v>0</v>
      </c>
      <c r="F7" s="27" t="s">
        <v>86</v>
      </c>
    </row>
    <row r="8" spans="1:17" x14ac:dyDescent="0.2">
      <c r="A8" s="25" t="s">
        <v>5</v>
      </c>
      <c r="E8" s="27">
        <f>total!F18</f>
        <v>1025</v>
      </c>
      <c r="F8" s="27" t="s">
        <v>11</v>
      </c>
      <c r="Q8" s="28"/>
    </row>
    <row r="9" spans="1:17" x14ac:dyDescent="0.2">
      <c r="A9" s="25" t="s">
        <v>9</v>
      </c>
      <c r="E9" s="27">
        <f>total!F17</f>
        <v>1</v>
      </c>
      <c r="F9" s="27" t="s">
        <v>73</v>
      </c>
    </row>
    <row r="10" spans="1:17" x14ac:dyDescent="0.2">
      <c r="A10" s="25" t="s">
        <v>6</v>
      </c>
      <c r="E10" s="3">
        <f>Parameters!G8</f>
        <v>0</v>
      </c>
      <c r="F10" s="27" t="s">
        <v>12</v>
      </c>
    </row>
    <row r="11" spans="1:17" x14ac:dyDescent="0.2">
      <c r="A11" s="25" t="s">
        <v>7</v>
      </c>
      <c r="E11" s="27">
        <f>VLOOKUP(H11,'pipe dimensions'!A1:D21,K11+1)</f>
        <v>250</v>
      </c>
      <c r="F11" s="27" t="s">
        <v>13</v>
      </c>
      <c r="G11" s="28" t="s">
        <v>68</v>
      </c>
      <c r="H11" s="28">
        <v>250</v>
      </c>
      <c r="J11" s="1" t="s">
        <v>72</v>
      </c>
      <c r="K11" s="3">
        <f>Parameters!G10</f>
        <v>0</v>
      </c>
      <c r="L11" s="1" t="s">
        <v>74</v>
      </c>
    </row>
    <row r="12" spans="1:17" x14ac:dyDescent="0.2">
      <c r="A12" s="25" t="s">
        <v>14</v>
      </c>
      <c r="E12" s="3">
        <f>Parameters!G9</f>
        <v>0</v>
      </c>
      <c r="F12" s="27"/>
      <c r="G12" s="28" t="s">
        <v>24</v>
      </c>
      <c r="H12" s="28">
        <v>0.15</v>
      </c>
      <c r="I12" s="1" t="s">
        <v>13</v>
      </c>
      <c r="J12" s="28" t="s">
        <v>25</v>
      </c>
      <c r="K12" s="28">
        <v>0.02</v>
      </c>
      <c r="L12" s="1" t="s">
        <v>13</v>
      </c>
    </row>
    <row r="13" spans="1:17" x14ac:dyDescent="0.2">
      <c r="A13" s="25" t="s">
        <v>8</v>
      </c>
      <c r="E13" s="27">
        <f>IF(E10&gt;0,D51,0)</f>
        <v>0</v>
      </c>
      <c r="F13" s="27"/>
    </row>
    <row r="15" spans="1:17" x14ac:dyDescent="0.2">
      <c r="A15" s="25" t="s">
        <v>1</v>
      </c>
      <c r="H15" s="27"/>
    </row>
    <row r="16" spans="1:17" x14ac:dyDescent="0.2">
      <c r="A16" s="29" t="s">
        <v>3</v>
      </c>
      <c r="D16" s="25" t="s">
        <v>75</v>
      </c>
      <c r="H16" s="30">
        <f>E7/3600/(0.785*(0.001*E11)*(0.001*E11))</f>
        <v>0</v>
      </c>
      <c r="I16" s="27" t="s">
        <v>2</v>
      </c>
    </row>
    <row r="17" spans="1:12" x14ac:dyDescent="0.2">
      <c r="A17" s="29" t="s">
        <v>10</v>
      </c>
      <c r="D17" s="25" t="s">
        <v>76</v>
      </c>
      <c r="H17" s="30">
        <f>H16*0.001*E11/E9*1000000</f>
        <v>0</v>
      </c>
      <c r="I17" s="31">
        <f>H17</f>
        <v>0</v>
      </c>
    </row>
    <row r="18" spans="1:12" x14ac:dyDescent="0.2">
      <c r="A18" s="29" t="s">
        <v>32</v>
      </c>
      <c r="D18" s="25"/>
      <c r="H18" s="32">
        <f>H12/E11</f>
        <v>5.9999999999999995E-4</v>
      </c>
      <c r="I18" s="27"/>
    </row>
    <row r="19" spans="1:12" x14ac:dyDescent="0.2">
      <c r="A19" s="29" t="s">
        <v>26</v>
      </c>
      <c r="D19" s="25"/>
      <c r="H19" s="30">
        <f>H17*H12/E11</f>
        <v>0</v>
      </c>
      <c r="I19" s="27"/>
    </row>
    <row r="20" spans="1:12" x14ac:dyDescent="0.2">
      <c r="A20" s="29"/>
      <c r="D20" s="25"/>
      <c r="H20" s="30"/>
      <c r="I20" s="27"/>
    </row>
    <row r="21" spans="1:12" x14ac:dyDescent="0.2">
      <c r="A21" s="29" t="s">
        <v>78</v>
      </c>
      <c r="D21" s="1" t="s">
        <v>77</v>
      </c>
      <c r="H21" s="32">
        <f>IF((E7&gt;0),64/H17,0)</f>
        <v>0</v>
      </c>
      <c r="I21" s="27"/>
    </row>
    <row r="22" spans="1:12" x14ac:dyDescent="0.2">
      <c r="A22" s="29" t="s">
        <v>80</v>
      </c>
      <c r="D22" s="1" t="s">
        <v>79</v>
      </c>
      <c r="H22" s="32">
        <f>IF((E7&gt;0),(0.0055*(1+(20000*IF(E12&gt;1,K12/1000,H12/1000)/(0.001*E11)+1000000/H17)^0.333333)),0)</f>
        <v>0</v>
      </c>
      <c r="I22" s="27"/>
    </row>
    <row r="23" spans="1:12" x14ac:dyDescent="0.2">
      <c r="A23" s="1" t="s">
        <v>82</v>
      </c>
      <c r="D23" s="1" t="s">
        <v>81</v>
      </c>
      <c r="H23" s="33">
        <f>((IF(H17&gt;2320,H22,H21))*E10/(0.001*E11)+E13)*E8*H16*H16/(2*100000)</f>
        <v>0</v>
      </c>
      <c r="I23" s="27" t="s">
        <v>52</v>
      </c>
      <c r="J23" s="1" t="s">
        <v>19</v>
      </c>
    </row>
    <row r="24" spans="1:12" x14ac:dyDescent="0.2">
      <c r="H24" s="30">
        <f>+H23*100/(9.81)</f>
        <v>0</v>
      </c>
      <c r="I24" s="27" t="s">
        <v>15</v>
      </c>
      <c r="J24" s="1" t="s">
        <v>20</v>
      </c>
    </row>
    <row r="25" spans="1:12" x14ac:dyDescent="0.2">
      <c r="H25" s="27" t="s">
        <v>16</v>
      </c>
      <c r="I25" s="27"/>
    </row>
    <row r="26" spans="1:12" s="24" customFormat="1" hidden="1" x14ac:dyDescent="0.2"/>
    <row r="27" spans="1:12" hidden="1" x14ac:dyDescent="0.2"/>
    <row r="28" spans="1:12" hidden="1" x14ac:dyDescent="0.2">
      <c r="A28" s="1" t="s">
        <v>41</v>
      </c>
      <c r="D28" s="1" t="s">
        <v>18</v>
      </c>
      <c r="H28" s="1" t="s">
        <v>21</v>
      </c>
      <c r="L28" s="1" t="s">
        <v>23</v>
      </c>
    </row>
    <row r="29" spans="1:12" hidden="1" x14ac:dyDescent="0.2">
      <c r="D29" s="34" t="s">
        <v>22</v>
      </c>
      <c r="F29" s="1" t="s">
        <v>42</v>
      </c>
      <c r="H29" s="35" t="s">
        <v>35</v>
      </c>
      <c r="L29" s="36" t="s">
        <v>36</v>
      </c>
    </row>
    <row r="30" spans="1:12" hidden="1" x14ac:dyDescent="0.2">
      <c r="B30" s="1" t="s">
        <v>28</v>
      </c>
    </row>
    <row r="31" spans="1:12" hidden="1" x14ac:dyDescent="0.2">
      <c r="C31" s="1" t="s">
        <v>27</v>
      </c>
      <c r="D31" s="27" t="e">
        <f>0.3164*H17^-0.25</f>
        <v>#DIV/0!</v>
      </c>
      <c r="E31" s="1" t="s">
        <v>39</v>
      </c>
      <c r="F31" s="1" t="s">
        <v>43</v>
      </c>
      <c r="G31" s="1" t="s">
        <v>30</v>
      </c>
      <c r="H31" s="1">
        <f>(1/(2*LOG10((E11/H12))+1.14))^2</f>
        <v>1.7387534198241929E-2</v>
      </c>
      <c r="I31" s="1" t="s">
        <v>37</v>
      </c>
      <c r="K31" s="1" t="s">
        <v>34</v>
      </c>
      <c r="L31" s="1" t="e">
        <f>1/(-2*LOG10(H12/(3.72*E11)+2.51/H17*((H17*E11/H12)^0.0625)*(1/0.48)))^2</f>
        <v>#DIV/0!</v>
      </c>
    </row>
    <row r="32" spans="1:12" hidden="1" x14ac:dyDescent="0.2">
      <c r="C32" s="1" t="s">
        <v>29</v>
      </c>
      <c r="D32" s="1" t="e">
        <f>0.0032+0.221*H17^-0.237</f>
        <v>#DIV/0!</v>
      </c>
      <c r="E32" s="1" t="s">
        <v>37</v>
      </c>
      <c r="F32" s="1" t="s">
        <v>44</v>
      </c>
      <c r="G32" s="1" t="s">
        <v>31</v>
      </c>
      <c r="H32" s="1">
        <f>0.0055+0.15*(H12/E11)^(1/3)</f>
        <v>1.8151489979526238E-2</v>
      </c>
      <c r="I32" s="1" t="s">
        <v>38</v>
      </c>
    </row>
    <row r="33" spans="1:12" hidden="1" x14ac:dyDescent="0.2">
      <c r="C33" s="1" t="s">
        <v>33</v>
      </c>
      <c r="D33" s="1" t="e">
        <f>0.0054+0.3964/H17^0.3</f>
        <v>#DIV/0!</v>
      </c>
      <c r="E33" s="1" t="s">
        <v>40</v>
      </c>
      <c r="F33" s="1" t="s">
        <v>45</v>
      </c>
    </row>
    <row r="34" spans="1:12" hidden="1" x14ac:dyDescent="0.2"/>
    <row r="36" spans="1:12" x14ac:dyDescent="0.2">
      <c r="A36" s="25" t="s">
        <v>47</v>
      </c>
      <c r="B36" s="1" t="s">
        <v>49</v>
      </c>
      <c r="C36" s="1" t="s">
        <v>48</v>
      </c>
      <c r="D36" s="1" t="s">
        <v>50</v>
      </c>
      <c r="F36" s="1" t="s">
        <v>58</v>
      </c>
    </row>
    <row r="37" spans="1:12" x14ac:dyDescent="0.2">
      <c r="A37" s="29" t="s">
        <v>53</v>
      </c>
      <c r="B37" s="3">
        <f>Parameters!G11</f>
        <v>0</v>
      </c>
      <c r="C37" s="2">
        <v>5</v>
      </c>
      <c r="D37" s="2">
        <f t="shared" ref="D37:D49" si="0">B37*C37</f>
        <v>0</v>
      </c>
    </row>
    <row r="38" spans="1:12" x14ac:dyDescent="0.2">
      <c r="A38" s="29" t="s">
        <v>54</v>
      </c>
      <c r="B38" s="3">
        <f>Parameters!G12</f>
        <v>0</v>
      </c>
      <c r="C38" s="2">
        <v>0.5</v>
      </c>
      <c r="D38" s="2">
        <f t="shared" si="0"/>
        <v>0</v>
      </c>
      <c r="I38" s="37"/>
    </row>
    <row r="39" spans="1:12" x14ac:dyDescent="0.2">
      <c r="A39" s="29" t="s">
        <v>62</v>
      </c>
      <c r="B39" s="3">
        <f>Parameters!G13</f>
        <v>0</v>
      </c>
      <c r="C39" s="2">
        <v>4</v>
      </c>
      <c r="D39" s="2">
        <f t="shared" si="0"/>
        <v>0</v>
      </c>
      <c r="I39" s="37"/>
    </row>
    <row r="40" spans="1:12" x14ac:dyDescent="0.2">
      <c r="A40" s="1" t="s">
        <v>94</v>
      </c>
      <c r="B40" s="3">
        <f>Parameters!G14</f>
        <v>0</v>
      </c>
      <c r="C40" s="2">
        <v>5</v>
      </c>
      <c r="D40" s="2">
        <f t="shared" si="0"/>
        <v>0</v>
      </c>
      <c r="I40" s="37"/>
    </row>
    <row r="41" spans="1:12" x14ac:dyDescent="0.2">
      <c r="A41" s="40" t="s">
        <v>95</v>
      </c>
      <c r="B41" s="3">
        <f>Parameters!G15</f>
        <v>0</v>
      </c>
      <c r="C41" s="2">
        <v>0.5</v>
      </c>
      <c r="D41" s="2">
        <f t="shared" si="0"/>
        <v>0</v>
      </c>
      <c r="I41" s="37"/>
    </row>
    <row r="42" spans="1:12" x14ac:dyDescent="0.2">
      <c r="A42" s="1" t="s">
        <v>63</v>
      </c>
      <c r="B42" s="3">
        <f>Parameters!G16</f>
        <v>0</v>
      </c>
      <c r="C42" s="2">
        <v>0.5</v>
      </c>
      <c r="D42" s="2">
        <f t="shared" si="0"/>
        <v>0</v>
      </c>
      <c r="L42" s="37"/>
    </row>
    <row r="43" spans="1:12" x14ac:dyDescent="0.2">
      <c r="A43" s="1" t="s">
        <v>64</v>
      </c>
      <c r="B43" s="3">
        <f>Parameters!G17</f>
        <v>0</v>
      </c>
      <c r="C43" s="2">
        <v>1</v>
      </c>
      <c r="D43" s="2">
        <f t="shared" si="0"/>
        <v>0</v>
      </c>
      <c r="L43" s="37"/>
    </row>
    <row r="44" spans="1:12" x14ac:dyDescent="0.2">
      <c r="A44" s="1" t="s">
        <v>51</v>
      </c>
      <c r="B44" s="3">
        <f>Parameters!G18</f>
        <v>0</v>
      </c>
      <c r="C44" s="2">
        <f>IF(H17&gt;2300,0.35,3.5)</f>
        <v>3.5</v>
      </c>
      <c r="D44" s="2">
        <f t="shared" si="0"/>
        <v>0</v>
      </c>
      <c r="F44" s="1" t="s">
        <v>89</v>
      </c>
      <c r="L44" s="37"/>
    </row>
    <row r="45" spans="1:12" x14ac:dyDescent="0.2">
      <c r="A45" s="1" t="s">
        <v>59</v>
      </c>
      <c r="B45" s="3">
        <f>Parameters!G19</f>
        <v>0</v>
      </c>
      <c r="C45" s="2">
        <v>1</v>
      </c>
      <c r="D45" s="2">
        <f t="shared" si="0"/>
        <v>0</v>
      </c>
      <c r="I45" s="37"/>
    </row>
    <row r="46" spans="1:12" x14ac:dyDescent="0.2">
      <c r="A46" s="1" t="s">
        <v>60</v>
      </c>
      <c r="B46" s="3">
        <f>Parameters!G20</f>
        <v>0</v>
      </c>
      <c r="C46" s="2">
        <v>0.1</v>
      </c>
      <c r="D46" s="2">
        <f t="shared" si="0"/>
        <v>0</v>
      </c>
      <c r="I46" s="37"/>
    </row>
    <row r="47" spans="1:12" x14ac:dyDescent="0.2">
      <c r="A47" s="1" t="s">
        <v>56</v>
      </c>
      <c r="B47" s="3">
        <f>Parameters!G21</f>
        <v>0</v>
      </c>
      <c r="C47" s="2">
        <v>1</v>
      </c>
      <c r="D47" s="2">
        <f t="shared" si="0"/>
        <v>0</v>
      </c>
      <c r="I47" s="37"/>
    </row>
    <row r="48" spans="1:12" x14ac:dyDescent="0.2">
      <c r="A48" s="1" t="s">
        <v>57</v>
      </c>
      <c r="B48" s="3">
        <f>Parameters!G22</f>
        <v>0</v>
      </c>
      <c r="C48" s="2">
        <v>6</v>
      </c>
      <c r="D48" s="2">
        <f t="shared" si="0"/>
        <v>0</v>
      </c>
      <c r="I48" s="37"/>
    </row>
    <row r="49" spans="1:9" x14ac:dyDescent="0.2">
      <c r="A49" s="1" t="s">
        <v>61</v>
      </c>
      <c r="B49" s="3">
        <f>Parameters!G23</f>
        <v>0</v>
      </c>
      <c r="C49" s="2">
        <v>0.2</v>
      </c>
      <c r="D49" s="2">
        <f t="shared" si="0"/>
        <v>0</v>
      </c>
      <c r="I49" s="37"/>
    </row>
    <row r="50" spans="1:9" x14ac:dyDescent="0.2">
      <c r="B50" s="38"/>
      <c r="C50" s="2"/>
      <c r="D50" s="2"/>
      <c r="I50" s="37"/>
    </row>
    <row r="51" spans="1:9" x14ac:dyDescent="0.2">
      <c r="A51" s="1" t="s">
        <v>46</v>
      </c>
      <c r="B51" s="2"/>
      <c r="C51" s="2"/>
      <c r="D51" s="2">
        <f>SUM(D37:D50)</f>
        <v>0</v>
      </c>
    </row>
  </sheetData>
  <phoneticPr fontId="4" type="noConversion"/>
  <conditionalFormatting sqref="D28">
    <cfRule type="cellIs" dxfId="53" priority="1" stopIfTrue="1" operator="lessThan">
      <formula>65</formula>
    </cfRule>
  </conditionalFormatting>
  <conditionalFormatting sqref="E7 E12 E10 K11 B37:B49">
    <cfRule type="cellIs" dxfId="52" priority="2" stopIfTrue="1" operator="notEqual">
      <formula>0</formula>
    </cfRule>
  </conditionalFormatting>
  <pageMargins left="0.75" right="0.75" top="1" bottom="1" header="0.5" footer="0.5"/>
  <pageSetup paperSize="9" scale="5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show</vt:lpstr>
      <vt:lpstr>total</vt:lpstr>
      <vt:lpstr>Parameters</vt:lpstr>
      <vt:lpstr>DN500 S</vt:lpstr>
      <vt:lpstr>DN450 S</vt:lpstr>
      <vt:lpstr>DN400 S</vt:lpstr>
      <vt:lpstr>DN350 S</vt:lpstr>
      <vt:lpstr>DN300 S</vt:lpstr>
      <vt:lpstr>DN250 S</vt:lpstr>
      <vt:lpstr>DN200 S</vt:lpstr>
      <vt:lpstr>DN150 S</vt:lpstr>
      <vt:lpstr>DN125 S</vt:lpstr>
      <vt:lpstr>DN100 S</vt:lpstr>
      <vt:lpstr>DN80 S</vt:lpstr>
      <vt:lpstr>DN65 S</vt:lpstr>
      <vt:lpstr>DN50 S</vt:lpstr>
      <vt:lpstr>DN40 S</vt:lpstr>
      <vt:lpstr>DN32 S</vt:lpstr>
      <vt:lpstr>DN25 S</vt:lpstr>
      <vt:lpstr>DN500 P</vt:lpstr>
      <vt:lpstr>DN450 P</vt:lpstr>
      <vt:lpstr>DN400 P</vt:lpstr>
      <vt:lpstr>DN350 P</vt:lpstr>
      <vt:lpstr>DN300 P</vt:lpstr>
      <vt:lpstr>DN250 P</vt:lpstr>
      <vt:lpstr>DN200 P</vt:lpstr>
      <vt:lpstr>DN150 P</vt:lpstr>
      <vt:lpstr>DN125 P</vt:lpstr>
      <vt:lpstr>DN100 P</vt:lpstr>
      <vt:lpstr>DN80 P</vt:lpstr>
      <vt:lpstr>DN65 P</vt:lpstr>
      <vt:lpstr>DN50 P</vt:lpstr>
      <vt:lpstr>DN40 P</vt:lpstr>
      <vt:lpstr>DN32 P</vt:lpstr>
      <vt:lpstr>DN25 P</vt:lpstr>
      <vt:lpstr>pipe dimensions</vt:lpstr>
    </vt:vector>
  </TitlesOfParts>
  <Company>van der Giessen - de Noord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cadmtt</dc:creator>
  <cp:lastModifiedBy>Lingen, Arjan</cp:lastModifiedBy>
  <cp:lastPrinted>2011-10-14T09:51:32Z</cp:lastPrinted>
  <dcterms:created xsi:type="dcterms:W3CDTF">2003-02-17T15:16:18Z</dcterms:created>
  <dcterms:modified xsi:type="dcterms:W3CDTF">2015-08-05T11:08:30Z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-1147514023</vt:i4>
  </property>
  <property fmtid="{D5CDD505-2E9C-101B-9397-08002B2CF9AE}" pid="3" name="_EmailSubject">
    <vt:lpwstr>calc</vt:lpwstr>
  </property>
  <property fmtid="{D5CDD505-2E9C-101B-9397-08002B2CF9AE}" pid="4" name="_AuthorEmail">
    <vt:lpwstr>hg.schep@ihcmerwede.com</vt:lpwstr>
  </property>
  <property fmtid="{D5CDD505-2E9C-101B-9397-08002B2CF9AE}" pid="5" name="_AuthorEmailDisplayName">
    <vt:lpwstr>Schep, Henk (Merwede Shipyard)</vt:lpwstr>
  </property>
  <property fmtid="{D5CDD505-2E9C-101B-9397-08002B2CF9AE}" pid="6" name="_PreviousAdHocReviewCycleID">
    <vt:i4>-2100320436</vt:i4>
  </property>
  <property fmtid="{D5CDD505-2E9C-101B-9397-08002B2CF9AE}" pid="7" name="_ReviewingToolsShownOnce">
    <vt:lpwstr/>
  </property>
</Properties>
</file>