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0" windowHeight="11160" firstSheet="10" activeTab="18"/>
  </bookViews>
  <sheets>
    <sheet name="Sheet7" sheetId="22" r:id="rId1"/>
    <sheet name="Sheet8" sheetId="23" r:id="rId2"/>
    <sheet name="Details" sheetId="1" r:id="rId3"/>
    <sheet name="Sheet9" sheetId="24" state="hidden" r:id="rId4"/>
    <sheet name="Sheet5" sheetId="20" state="hidden" r:id="rId5"/>
    <sheet name="Sheet6" sheetId="21" state="hidden" r:id="rId6"/>
    <sheet name="Jan" sheetId="8" r:id="rId7"/>
    <sheet name="Feb" sheetId="5" r:id="rId8"/>
    <sheet name="Mar" sheetId="3" r:id="rId9"/>
    <sheet name="Apr" sheetId="4" r:id="rId10"/>
    <sheet name="May" sheetId="6" r:id="rId11"/>
    <sheet name="Jun" sheetId="7" r:id="rId12"/>
    <sheet name="Jul" sheetId="9" r:id="rId13"/>
    <sheet name="Aug" sheetId="10" r:id="rId14"/>
    <sheet name="Sep" sheetId="11" r:id="rId15"/>
    <sheet name="Oct" sheetId="12" r:id="rId16"/>
    <sheet name="Nov" sheetId="13" r:id="rId17"/>
    <sheet name="Dec" sheetId="14" r:id="rId18"/>
    <sheet name="Reports" sheetId="2" r:id="rId19"/>
    <sheet name="Graphs" sheetId="16" r:id="rId20"/>
    <sheet name="Sheet1" sheetId="15" r:id="rId21"/>
    <sheet name="Sheet2" sheetId="17" r:id="rId22"/>
    <sheet name="Sheet3" sheetId="18" r:id="rId23"/>
    <sheet name="Sheet4" sheetId="19" r:id="rId24"/>
  </sheets>
  <definedNames>
    <definedName name="_xlnm.Print_Area" localSheetId="9">Apr!$A$1:$E$112</definedName>
    <definedName name="_xlnm.Print_Area" localSheetId="13">Aug!$A$1:$E$109</definedName>
    <definedName name="_xlnm.Print_Area" localSheetId="17">Dec!$A$1:$E$109</definedName>
    <definedName name="_xlnm.Print_Area" localSheetId="2">Details!$A$5:$J$113</definedName>
    <definedName name="_xlnm.Print_Area" localSheetId="7">Feb!$A$1:$F$117</definedName>
    <definedName name="_xlnm.Print_Area" localSheetId="6">Jan!$A$1:$F$112</definedName>
    <definedName name="_xlnm.Print_Area" localSheetId="12">Jul!$A$1:$D$109</definedName>
    <definedName name="_xlnm.Print_Area" localSheetId="11">Jun!$A$1:$D$110</definedName>
    <definedName name="_xlnm.Print_Area" localSheetId="8">Mar!$A$1:$E$112</definedName>
    <definedName name="_xlnm.Print_Area" localSheetId="10">May!$A$1:$D$109</definedName>
    <definedName name="_xlnm.Print_Area" localSheetId="16">Nov!$A$1:$E$109</definedName>
    <definedName name="_xlnm.Print_Area" localSheetId="15">Oct!$A$1:$E$109</definedName>
    <definedName name="_xlnm.Print_Area" localSheetId="18">Reports!$A$1:$H$119</definedName>
    <definedName name="_xlnm.Print_Area" localSheetId="14">Sep!$A$1:$E$111</definedName>
    <definedName name="_xlnm.Print_Area" localSheetId="20">Sheet1!$A$1:$E$96</definedName>
    <definedName name="_xlnm.Print_Area" localSheetId="5">Sheet6!$A$5:$P$111</definedName>
    <definedName name="_xlnm.Print_Titles" localSheetId="9">Apr!$5:$5</definedName>
    <definedName name="_xlnm.Print_Titles" localSheetId="17">Dec!$5:$5</definedName>
    <definedName name="_xlnm.Print_Titles" localSheetId="2">Details!$5:$5</definedName>
    <definedName name="_xlnm.Print_Titles" localSheetId="7">Feb!$5:$5</definedName>
    <definedName name="_xlnm.Print_Titles" localSheetId="6">Jan!$5:$5</definedName>
    <definedName name="_xlnm.Print_Titles" localSheetId="12">Jul!$5:$5</definedName>
    <definedName name="_xlnm.Print_Titles" localSheetId="11">Jun!$5:$5</definedName>
    <definedName name="_xlnm.Print_Titles" localSheetId="8">Mar!$A:$B,Mar!$1:$4</definedName>
    <definedName name="_xlnm.Print_Titles" localSheetId="10">May!$5:$5</definedName>
    <definedName name="_xlnm.Print_Titles" localSheetId="16">Nov!$5:$5</definedName>
    <definedName name="_xlnm.Print_Titles" localSheetId="15">Oct!$5:$5</definedName>
    <definedName name="_xlnm.Print_Titles" localSheetId="18">Reports!$A:$B,Reports!$4:$4</definedName>
    <definedName name="_xlnm.Print_Titles" localSheetId="14">Sep!$4:$4</definedName>
  </definedNames>
  <calcPr calcId="124519"/>
  <fileRecoveryPr repairLoad="1"/>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6" i="1"/>
  <c r="D4"/>
  <c r="E3"/>
  <c r="E2"/>
  <c r="E1"/>
  <c r="G112" i="2"/>
  <c r="G111"/>
  <c r="G110"/>
  <c r="G109"/>
  <c r="G108"/>
  <c r="G107"/>
  <c r="G106"/>
  <c r="G105"/>
  <c r="G104"/>
  <c r="G103"/>
  <c r="G102"/>
  <c r="G101"/>
  <c r="G100"/>
  <c r="G99"/>
  <c r="G98"/>
  <c r="G97"/>
  <c r="G96"/>
  <c r="G95"/>
  <c r="G94"/>
  <c r="G92"/>
  <c r="G91"/>
  <c r="G90"/>
  <c r="G89"/>
  <c r="G87"/>
  <c r="G86"/>
  <c r="G85"/>
  <c r="G84"/>
  <c r="G83"/>
  <c r="G82"/>
  <c r="G81"/>
  <c r="G79"/>
  <c r="G78"/>
  <c r="G77"/>
  <c r="G76"/>
  <c r="G75"/>
  <c r="G74"/>
  <c r="G73"/>
  <c r="G72"/>
  <c r="G71"/>
  <c r="G70"/>
  <c r="G69"/>
  <c r="G68"/>
  <c r="G67"/>
  <c r="G66"/>
  <c r="G65"/>
  <c r="G64"/>
  <c r="G63"/>
  <c r="G62"/>
  <c r="G61"/>
  <c r="G60"/>
  <c r="G59"/>
  <c r="G58"/>
  <c r="G57"/>
  <c r="G56"/>
  <c r="H56" s="1"/>
  <c r="G55"/>
  <c r="H55" s="1"/>
  <c r="G54"/>
  <c r="G53"/>
  <c r="G52"/>
  <c r="G51"/>
  <c r="G50"/>
  <c r="G49"/>
  <c r="G48"/>
  <c r="G47"/>
  <c r="G45"/>
  <c r="G43"/>
  <c r="G42"/>
  <c r="G41"/>
  <c r="G40"/>
  <c r="G39"/>
  <c r="G38"/>
  <c r="G37"/>
  <c r="G36"/>
  <c r="G35"/>
  <c r="G34"/>
  <c r="G33"/>
  <c r="G32"/>
  <c r="G31"/>
  <c r="G30"/>
  <c r="G29"/>
  <c r="G28"/>
  <c r="G27"/>
  <c r="G25"/>
  <c r="G24"/>
  <c r="G23"/>
  <c r="G22"/>
  <c r="G21"/>
  <c r="G20"/>
  <c r="G19"/>
  <c r="G18"/>
  <c r="G17"/>
  <c r="G16"/>
  <c r="G15"/>
  <c r="G14"/>
  <c r="G13"/>
  <c r="G12"/>
  <c r="G11"/>
  <c r="G10"/>
  <c r="G9"/>
  <c r="G8"/>
  <c r="G7"/>
  <c r="F112"/>
  <c r="F111"/>
  <c r="F110"/>
  <c r="F109"/>
  <c r="F108"/>
  <c r="F107"/>
  <c r="F106"/>
  <c r="F105"/>
  <c r="F104"/>
  <c r="F103"/>
  <c r="F102"/>
  <c r="F101"/>
  <c r="F100"/>
  <c r="F99"/>
  <c r="F98"/>
  <c r="F97"/>
  <c r="F96"/>
  <c r="F95"/>
  <c r="F94"/>
  <c r="F92"/>
  <c r="F91"/>
  <c r="F90"/>
  <c r="F89"/>
  <c r="F87"/>
  <c r="F86"/>
  <c r="F85"/>
  <c r="F84"/>
  <c r="F83"/>
  <c r="F82"/>
  <c r="F81"/>
  <c r="F79"/>
  <c r="F78"/>
  <c r="F77"/>
  <c r="F76"/>
  <c r="F75"/>
  <c r="F74"/>
  <c r="F73"/>
  <c r="F72"/>
  <c r="F71"/>
  <c r="F70"/>
  <c r="F69"/>
  <c r="F68"/>
  <c r="F67"/>
  <c r="F66"/>
  <c r="F65"/>
  <c r="F64"/>
  <c r="F63"/>
  <c r="F62"/>
  <c r="F61"/>
  <c r="F60"/>
  <c r="F59"/>
  <c r="F58"/>
  <c r="F57"/>
  <c r="F56"/>
  <c r="F55"/>
  <c r="F54"/>
  <c r="F53"/>
  <c r="F52"/>
  <c r="F51"/>
  <c r="F50"/>
  <c r="F49"/>
  <c r="F48"/>
  <c r="F47"/>
  <c r="F45"/>
  <c r="F43"/>
  <c r="F42"/>
  <c r="F41"/>
  <c r="F40"/>
  <c r="F39"/>
  <c r="F38"/>
  <c r="F37"/>
  <c r="F36"/>
  <c r="F35"/>
  <c r="F34"/>
  <c r="F33"/>
  <c r="F32"/>
  <c r="F31"/>
  <c r="F30"/>
  <c r="F29"/>
  <c r="F28"/>
  <c r="F27"/>
  <c r="F25"/>
  <c r="F24"/>
  <c r="F23"/>
  <c r="F22"/>
  <c r="F21"/>
  <c r="F20"/>
  <c r="F19"/>
  <c r="F18"/>
  <c r="F17"/>
  <c r="F16"/>
  <c r="F15"/>
  <c r="F14"/>
  <c r="F13"/>
  <c r="F12"/>
  <c r="F11"/>
  <c r="F10"/>
  <c r="F9"/>
  <c r="F8"/>
  <c r="F7"/>
  <c r="F86" i="7"/>
  <c r="D86"/>
  <c r="C86"/>
  <c r="B86"/>
  <c r="C111"/>
  <c r="C110"/>
  <c r="C109"/>
  <c r="C108"/>
  <c r="C107"/>
  <c r="C106"/>
  <c r="C105"/>
  <c r="C104"/>
  <c r="C103"/>
  <c r="C102"/>
  <c r="C101"/>
  <c r="C100"/>
  <c r="C99"/>
  <c r="C98"/>
  <c r="C97"/>
  <c r="C96"/>
  <c r="C95"/>
  <c r="C94"/>
  <c r="C93"/>
  <c r="C92"/>
  <c r="C90"/>
  <c r="C89"/>
  <c r="C88"/>
  <c r="C87"/>
  <c r="C85"/>
  <c r="C84"/>
  <c r="C83"/>
  <c r="C82"/>
  <c r="C81"/>
  <c r="C80"/>
  <c r="C79"/>
  <c r="C78"/>
  <c r="C77"/>
  <c r="C76"/>
  <c r="C75"/>
  <c r="C74"/>
  <c r="C73"/>
  <c r="C72"/>
  <c r="C71"/>
  <c r="C70"/>
  <c r="C69"/>
  <c r="C68"/>
  <c r="C67"/>
  <c r="C66"/>
  <c r="C65"/>
  <c r="C64"/>
  <c r="C63"/>
  <c r="C62"/>
  <c r="F61"/>
  <c r="D61"/>
  <c r="C61"/>
  <c r="B61"/>
  <c r="J96" i="1"/>
  <c r="J112"/>
  <c r="J111"/>
  <c r="I64"/>
  <c r="H111"/>
  <c r="G111"/>
  <c r="G110"/>
  <c r="I110"/>
  <c r="I103"/>
  <c r="I7"/>
  <c r="I17"/>
  <c r="I18"/>
  <c r="I8"/>
  <c r="I82"/>
  <c r="I86"/>
  <c r="I28"/>
  <c r="E61" i="7" l="1"/>
  <c r="I4" i="1"/>
  <c r="W62"/>
  <c r="S62"/>
  <c r="R62"/>
  <c r="Q62"/>
  <c r="P62"/>
  <c r="O62"/>
  <c r="N62"/>
  <c r="M62"/>
  <c r="L62"/>
  <c r="K62"/>
  <c r="I62"/>
  <c r="I63"/>
  <c r="I60"/>
  <c r="I59"/>
  <c r="I58"/>
  <c r="I74"/>
  <c r="I71"/>
  <c r="I70"/>
  <c r="I92"/>
  <c r="I40"/>
  <c r="I41"/>
  <c r="I29"/>
  <c r="B3"/>
  <c r="I16"/>
  <c r="I15"/>
  <c r="G86"/>
  <c r="H15"/>
  <c r="H17"/>
  <c r="H66"/>
  <c r="H71"/>
  <c r="H64"/>
  <c r="H70"/>
  <c r="H38"/>
  <c r="H45"/>
  <c r="H59"/>
  <c r="H67"/>
  <c r="H41"/>
  <c r="G70"/>
  <c r="G71"/>
  <c r="H42"/>
  <c r="H29"/>
  <c r="H16"/>
  <c r="H7"/>
  <c r="H18"/>
  <c r="H91"/>
  <c r="H90"/>
  <c r="H60"/>
  <c r="H58"/>
  <c r="H86"/>
  <c r="H82"/>
  <c r="H8"/>
  <c r="G15"/>
  <c r="G64"/>
  <c r="G18"/>
  <c r="G18" i="23"/>
  <c r="B137"/>
  <c r="B132"/>
  <c r="E129"/>
  <c r="E130" s="1"/>
  <c r="E131" s="1"/>
  <c r="E132" s="1"/>
  <c r="E133" s="1"/>
  <c r="E134" s="1"/>
  <c r="E135" s="1"/>
  <c r="E136" s="1"/>
  <c r="C124"/>
  <c r="C123"/>
  <c r="I119"/>
  <c r="E117"/>
  <c r="M111"/>
  <c r="M112" s="1"/>
  <c r="W110"/>
  <c r="R110"/>
  <c r="Q110"/>
  <c r="Q112" s="1"/>
  <c r="P110"/>
  <c r="O110"/>
  <c r="M110"/>
  <c r="N110" s="1"/>
  <c r="L110"/>
  <c r="K110"/>
  <c r="I110"/>
  <c r="H110"/>
  <c r="V107"/>
  <c r="R107"/>
  <c r="N107"/>
  <c r="U107" s="1"/>
  <c r="J107"/>
  <c r="K23" s="1"/>
  <c r="N23" s="1"/>
  <c r="F107"/>
  <c r="S107" s="1"/>
  <c r="V106"/>
  <c r="T106"/>
  <c r="R106"/>
  <c r="N106"/>
  <c r="U106" s="1"/>
  <c r="J106"/>
  <c r="F106"/>
  <c r="J22" s="1"/>
  <c r="D106"/>
  <c r="C106"/>
  <c r="V105"/>
  <c r="U105"/>
  <c r="T105"/>
  <c r="R105"/>
  <c r="N105"/>
  <c r="J105"/>
  <c r="F105"/>
  <c r="S105" s="1"/>
  <c r="D105"/>
  <c r="V104"/>
  <c r="U104"/>
  <c r="R104"/>
  <c r="N104"/>
  <c r="O22" s="1"/>
  <c r="R22" s="1"/>
  <c r="J104"/>
  <c r="T104" s="1"/>
  <c r="F104"/>
  <c r="S104" s="1"/>
  <c r="V103"/>
  <c r="U103"/>
  <c r="S103"/>
  <c r="R103"/>
  <c r="N103"/>
  <c r="J103"/>
  <c r="T103" s="1"/>
  <c r="F103"/>
  <c r="E103"/>
  <c r="D103"/>
  <c r="V102"/>
  <c r="T102"/>
  <c r="R102"/>
  <c r="N102"/>
  <c r="J102"/>
  <c r="E102"/>
  <c r="F102" s="1"/>
  <c r="S102" s="1"/>
  <c r="D102"/>
  <c r="C102"/>
  <c r="V101"/>
  <c r="T101"/>
  <c r="R101"/>
  <c r="N101"/>
  <c r="U101" s="1"/>
  <c r="J101"/>
  <c r="F101"/>
  <c r="S101" s="1"/>
  <c r="D101"/>
  <c r="V100"/>
  <c r="U100"/>
  <c r="T100"/>
  <c r="R100"/>
  <c r="R99" s="1"/>
  <c r="N100"/>
  <c r="J100"/>
  <c r="F100"/>
  <c r="S100" s="1"/>
  <c r="V99"/>
  <c r="Q99"/>
  <c r="P99"/>
  <c r="O99"/>
  <c r="M99"/>
  <c r="L99"/>
  <c r="K99"/>
  <c r="I99"/>
  <c r="H99"/>
  <c r="E99"/>
  <c r="F99" s="1"/>
  <c r="S99" s="1"/>
  <c r="D99"/>
  <c r="I98"/>
  <c r="I111" s="1"/>
  <c r="R97"/>
  <c r="N97"/>
  <c r="J97"/>
  <c r="F97"/>
  <c r="R96"/>
  <c r="N96"/>
  <c r="N94" s="1"/>
  <c r="J96"/>
  <c r="D96"/>
  <c r="F96" s="1"/>
  <c r="V95"/>
  <c r="S95"/>
  <c r="R95"/>
  <c r="N95"/>
  <c r="F95"/>
  <c r="U95" s="1"/>
  <c r="W94"/>
  <c r="Q94"/>
  <c r="P94"/>
  <c r="O94"/>
  <c r="M94"/>
  <c r="L94"/>
  <c r="K94"/>
  <c r="J94"/>
  <c r="I94"/>
  <c r="H94"/>
  <c r="G94"/>
  <c r="E94"/>
  <c r="D94"/>
  <c r="C94"/>
  <c r="R92"/>
  <c r="N92"/>
  <c r="J92"/>
  <c r="F92"/>
  <c r="E92"/>
  <c r="T91"/>
  <c r="R91"/>
  <c r="N91"/>
  <c r="J91"/>
  <c r="F91"/>
  <c r="E91"/>
  <c r="R90"/>
  <c r="N90"/>
  <c r="N89" s="1"/>
  <c r="J90"/>
  <c r="E90"/>
  <c r="W89"/>
  <c r="R89"/>
  <c r="Q89"/>
  <c r="P89"/>
  <c r="O89"/>
  <c r="M89"/>
  <c r="L89"/>
  <c r="K89"/>
  <c r="I89"/>
  <c r="H89"/>
  <c r="G89"/>
  <c r="D89"/>
  <c r="C89"/>
  <c r="C88"/>
  <c r="R87"/>
  <c r="N87"/>
  <c r="J87"/>
  <c r="F87"/>
  <c r="R86"/>
  <c r="N86"/>
  <c r="N81" s="1"/>
  <c r="J86"/>
  <c r="E86"/>
  <c r="E110" s="1"/>
  <c r="D86"/>
  <c r="C86"/>
  <c r="R85"/>
  <c r="N85"/>
  <c r="J85"/>
  <c r="F85"/>
  <c r="D85"/>
  <c r="R84"/>
  <c r="N84"/>
  <c r="J84"/>
  <c r="F84"/>
  <c r="S84" s="1"/>
  <c r="R83"/>
  <c r="R81" s="1"/>
  <c r="N83"/>
  <c r="J83"/>
  <c r="E83"/>
  <c r="E81" s="1"/>
  <c r="D83"/>
  <c r="R82"/>
  <c r="N82"/>
  <c r="F82"/>
  <c r="E82"/>
  <c r="D82"/>
  <c r="W81"/>
  <c r="Q81"/>
  <c r="P81"/>
  <c r="O81"/>
  <c r="M81"/>
  <c r="L81"/>
  <c r="K81"/>
  <c r="I81"/>
  <c r="H81"/>
  <c r="C81"/>
  <c r="R79"/>
  <c r="N79"/>
  <c r="J79"/>
  <c r="F79"/>
  <c r="C79"/>
  <c r="R78"/>
  <c r="N78"/>
  <c r="J78"/>
  <c r="F78"/>
  <c r="R77"/>
  <c r="N77"/>
  <c r="J77"/>
  <c r="F77"/>
  <c r="R76"/>
  <c r="N76"/>
  <c r="U76" s="1"/>
  <c r="J76"/>
  <c r="F76"/>
  <c r="T75"/>
  <c r="R75"/>
  <c r="N75"/>
  <c r="J75"/>
  <c r="U75" s="1"/>
  <c r="F75"/>
  <c r="T74"/>
  <c r="R74"/>
  <c r="N74"/>
  <c r="J74"/>
  <c r="F74"/>
  <c r="D74"/>
  <c r="T73"/>
  <c r="R73"/>
  <c r="N73"/>
  <c r="J73"/>
  <c r="V73" s="1"/>
  <c r="F73"/>
  <c r="S73" s="1"/>
  <c r="T72"/>
  <c r="R72"/>
  <c r="N72"/>
  <c r="J72"/>
  <c r="V72" s="1"/>
  <c r="F72"/>
  <c r="S72" s="1"/>
  <c r="R71"/>
  <c r="N71"/>
  <c r="J71"/>
  <c r="E71"/>
  <c r="E62" s="1"/>
  <c r="D71"/>
  <c r="C71"/>
  <c r="U70"/>
  <c r="R70"/>
  <c r="N70"/>
  <c r="N62" s="1"/>
  <c r="J70"/>
  <c r="V70" s="1"/>
  <c r="E70"/>
  <c r="D70"/>
  <c r="F70" s="1"/>
  <c r="C70"/>
  <c r="U69"/>
  <c r="R69"/>
  <c r="N69"/>
  <c r="J69"/>
  <c r="F69"/>
  <c r="S69" s="1"/>
  <c r="T68"/>
  <c r="R68"/>
  <c r="N68"/>
  <c r="J68"/>
  <c r="F68"/>
  <c r="S68" s="1"/>
  <c r="R67"/>
  <c r="N67"/>
  <c r="J67"/>
  <c r="V67" s="1"/>
  <c r="F67"/>
  <c r="D67"/>
  <c r="R66"/>
  <c r="N66"/>
  <c r="F66"/>
  <c r="E66"/>
  <c r="D66"/>
  <c r="C66"/>
  <c r="C62" s="1"/>
  <c r="R65"/>
  <c r="N65"/>
  <c r="J65"/>
  <c r="D65"/>
  <c r="F65" s="1"/>
  <c r="C65"/>
  <c r="R64"/>
  <c r="N64"/>
  <c r="J64"/>
  <c r="T64" s="1"/>
  <c r="F64"/>
  <c r="E64"/>
  <c r="D64"/>
  <c r="C64"/>
  <c r="T63"/>
  <c r="R63"/>
  <c r="N63"/>
  <c r="V63" s="1"/>
  <c r="J63"/>
  <c r="F63"/>
  <c r="S63" s="1"/>
  <c r="W62"/>
  <c r="Q62"/>
  <c r="P62"/>
  <c r="O62"/>
  <c r="M62"/>
  <c r="L62"/>
  <c r="K62"/>
  <c r="I62"/>
  <c r="H62"/>
  <c r="R61"/>
  <c r="N61"/>
  <c r="J61"/>
  <c r="F61"/>
  <c r="R60"/>
  <c r="N60"/>
  <c r="J60"/>
  <c r="F60"/>
  <c r="E60"/>
  <c r="D60"/>
  <c r="C60"/>
  <c r="W59"/>
  <c r="W57" s="1"/>
  <c r="R59"/>
  <c r="N59"/>
  <c r="J59"/>
  <c r="E59"/>
  <c r="F59" s="1"/>
  <c r="D59"/>
  <c r="C59"/>
  <c r="R58"/>
  <c r="R57" s="1"/>
  <c r="N58"/>
  <c r="J58"/>
  <c r="E58"/>
  <c r="D58"/>
  <c r="C58"/>
  <c r="Q57"/>
  <c r="P57"/>
  <c r="O57"/>
  <c r="O98" s="1"/>
  <c r="O111" s="1"/>
  <c r="M57"/>
  <c r="L57"/>
  <c r="K57"/>
  <c r="I57"/>
  <c r="H57"/>
  <c r="G57"/>
  <c r="D57"/>
  <c r="C57"/>
  <c r="U55"/>
  <c r="T55"/>
  <c r="S55"/>
  <c r="R55"/>
  <c r="V55" s="1"/>
  <c r="R54"/>
  <c r="N54"/>
  <c r="J54"/>
  <c r="F54"/>
  <c r="E54"/>
  <c r="D54"/>
  <c r="R53"/>
  <c r="N53"/>
  <c r="J53"/>
  <c r="E53"/>
  <c r="D53"/>
  <c r="F53" s="1"/>
  <c r="R52"/>
  <c r="N52"/>
  <c r="J52"/>
  <c r="T52" s="1"/>
  <c r="F52"/>
  <c r="E52"/>
  <c r="R51"/>
  <c r="N51"/>
  <c r="J51"/>
  <c r="D51"/>
  <c r="F51" s="1"/>
  <c r="R50"/>
  <c r="N50"/>
  <c r="J50"/>
  <c r="F50"/>
  <c r="R49"/>
  <c r="N49"/>
  <c r="J49"/>
  <c r="E49"/>
  <c r="C49"/>
  <c r="R48"/>
  <c r="N48"/>
  <c r="J48"/>
  <c r="F48"/>
  <c r="R47"/>
  <c r="N47"/>
  <c r="J47"/>
  <c r="T47" s="1"/>
  <c r="E47"/>
  <c r="D47"/>
  <c r="C47"/>
  <c r="F47" s="1"/>
  <c r="R46"/>
  <c r="N46"/>
  <c r="J46"/>
  <c r="F46"/>
  <c r="R45"/>
  <c r="N45"/>
  <c r="J45"/>
  <c r="F45"/>
  <c r="R44"/>
  <c r="N44"/>
  <c r="J44"/>
  <c r="F44"/>
  <c r="S43"/>
  <c r="R43"/>
  <c r="N43"/>
  <c r="J43"/>
  <c r="T43" s="1"/>
  <c r="E43"/>
  <c r="F43" s="1"/>
  <c r="R42"/>
  <c r="N42"/>
  <c r="J42"/>
  <c r="U42" s="1"/>
  <c r="F42"/>
  <c r="V41"/>
  <c r="R41"/>
  <c r="N41"/>
  <c r="U41" s="1"/>
  <c r="J41"/>
  <c r="F41"/>
  <c r="T41" s="1"/>
  <c r="R40"/>
  <c r="N40"/>
  <c r="J40"/>
  <c r="E40"/>
  <c r="F40" s="1"/>
  <c r="R39"/>
  <c r="N39"/>
  <c r="J39"/>
  <c r="F39"/>
  <c r="E39"/>
  <c r="R38"/>
  <c r="N38"/>
  <c r="J38"/>
  <c r="D38"/>
  <c r="C38"/>
  <c r="R37"/>
  <c r="N37"/>
  <c r="J37"/>
  <c r="T37" s="1"/>
  <c r="F37"/>
  <c r="R36"/>
  <c r="N36"/>
  <c r="J36"/>
  <c r="E36"/>
  <c r="F36" s="1"/>
  <c r="R35"/>
  <c r="N35"/>
  <c r="J35"/>
  <c r="F35"/>
  <c r="R34"/>
  <c r="N34"/>
  <c r="J34"/>
  <c r="V34" s="1"/>
  <c r="F34"/>
  <c r="R33"/>
  <c r="N33"/>
  <c r="J33"/>
  <c r="F33"/>
  <c r="R32"/>
  <c r="N32"/>
  <c r="J32"/>
  <c r="U32" s="1"/>
  <c r="F32"/>
  <c r="R31"/>
  <c r="N31"/>
  <c r="J31"/>
  <c r="F31"/>
  <c r="R30"/>
  <c r="N30"/>
  <c r="J30"/>
  <c r="V30" s="1"/>
  <c r="F30"/>
  <c r="R29"/>
  <c r="N29"/>
  <c r="J29"/>
  <c r="E29"/>
  <c r="F29" s="1"/>
  <c r="D29"/>
  <c r="C29"/>
  <c r="R28"/>
  <c r="N28"/>
  <c r="J28"/>
  <c r="E28"/>
  <c r="W27"/>
  <c r="W112" s="1"/>
  <c r="Q27"/>
  <c r="Q98" s="1"/>
  <c r="Q111" s="1"/>
  <c r="P27"/>
  <c r="P98" s="1"/>
  <c r="P111" s="1"/>
  <c r="P112" s="1"/>
  <c r="O27"/>
  <c r="M27"/>
  <c r="M98" s="1"/>
  <c r="L27"/>
  <c r="L98" s="1"/>
  <c r="L111" s="1"/>
  <c r="L112" s="1"/>
  <c r="K27"/>
  <c r="K98" s="1"/>
  <c r="K111" s="1"/>
  <c r="N111" s="1"/>
  <c r="I27"/>
  <c r="H27"/>
  <c r="G27"/>
  <c r="D27"/>
  <c r="I25"/>
  <c r="I109" s="1"/>
  <c r="V23"/>
  <c r="U23"/>
  <c r="T23"/>
  <c r="S23"/>
  <c r="R23"/>
  <c r="Q23"/>
  <c r="P23"/>
  <c r="O23"/>
  <c r="M23"/>
  <c r="L23"/>
  <c r="J23"/>
  <c r="I23"/>
  <c r="I24" s="1"/>
  <c r="H23"/>
  <c r="G23"/>
  <c r="F23"/>
  <c r="E23"/>
  <c r="D23"/>
  <c r="V22"/>
  <c r="U22"/>
  <c r="T22"/>
  <c r="S22"/>
  <c r="Q22"/>
  <c r="P22"/>
  <c r="M22"/>
  <c r="L22"/>
  <c r="I22"/>
  <c r="H22"/>
  <c r="G22"/>
  <c r="F22"/>
  <c r="E22"/>
  <c r="D22"/>
  <c r="V21"/>
  <c r="U21"/>
  <c r="T21"/>
  <c r="S21"/>
  <c r="Q21"/>
  <c r="Q24" s="1"/>
  <c r="P21"/>
  <c r="O21"/>
  <c r="R21" s="1"/>
  <c r="M21"/>
  <c r="L21"/>
  <c r="K21"/>
  <c r="N21" s="1"/>
  <c r="I21"/>
  <c r="G21"/>
  <c r="J21" s="1"/>
  <c r="F21"/>
  <c r="E21"/>
  <c r="D21"/>
  <c r="W20"/>
  <c r="W24" s="1"/>
  <c r="U20"/>
  <c r="Q20"/>
  <c r="P20"/>
  <c r="P24" s="1"/>
  <c r="M20"/>
  <c r="L20"/>
  <c r="L24" s="1"/>
  <c r="K20"/>
  <c r="I20"/>
  <c r="H20"/>
  <c r="G20"/>
  <c r="E20"/>
  <c r="C20"/>
  <c r="W19"/>
  <c r="W25" s="1"/>
  <c r="W109" s="1"/>
  <c r="Q19"/>
  <c r="Q25" s="1"/>
  <c r="Q109" s="1"/>
  <c r="P19"/>
  <c r="P25" s="1"/>
  <c r="P109" s="1"/>
  <c r="O19"/>
  <c r="M19"/>
  <c r="L19"/>
  <c r="K19"/>
  <c r="I19"/>
  <c r="H19"/>
  <c r="R18"/>
  <c r="N18"/>
  <c r="J18"/>
  <c r="F18"/>
  <c r="E18"/>
  <c r="D18"/>
  <c r="C18"/>
  <c r="R17"/>
  <c r="N17"/>
  <c r="J17"/>
  <c r="F17"/>
  <c r="E17"/>
  <c r="D17"/>
  <c r="C17"/>
  <c r="R16"/>
  <c r="N16"/>
  <c r="J16"/>
  <c r="V16" s="1"/>
  <c r="E16"/>
  <c r="E3" s="1"/>
  <c r="D16"/>
  <c r="F16" s="1"/>
  <c r="C16"/>
  <c r="R15"/>
  <c r="N15"/>
  <c r="J15"/>
  <c r="E15"/>
  <c r="D15"/>
  <c r="F15" s="1"/>
  <c r="C15"/>
  <c r="R14"/>
  <c r="N14"/>
  <c r="J14"/>
  <c r="T14" s="1"/>
  <c r="F14"/>
  <c r="S14" s="1"/>
  <c r="U13"/>
  <c r="T13"/>
  <c r="S13"/>
  <c r="R13"/>
  <c r="V13" s="1"/>
  <c r="R12"/>
  <c r="N12"/>
  <c r="J12"/>
  <c r="F12"/>
  <c r="R11"/>
  <c r="N11"/>
  <c r="J11"/>
  <c r="F11"/>
  <c r="R10"/>
  <c r="R19" s="1"/>
  <c r="N10"/>
  <c r="J10"/>
  <c r="U10" s="1"/>
  <c r="F10"/>
  <c r="R9"/>
  <c r="N9"/>
  <c r="J9"/>
  <c r="E9"/>
  <c r="D9"/>
  <c r="F9" s="1"/>
  <c r="R8"/>
  <c r="N8"/>
  <c r="J8"/>
  <c r="E8"/>
  <c r="D8"/>
  <c r="D19" s="1"/>
  <c r="C8"/>
  <c r="R7"/>
  <c r="N7"/>
  <c r="G19"/>
  <c r="E7"/>
  <c r="E19" s="1"/>
  <c r="E25" s="1"/>
  <c r="E109" s="1"/>
  <c r="D7"/>
  <c r="C7"/>
  <c r="T6"/>
  <c r="R6"/>
  <c r="N6"/>
  <c r="N19" s="1"/>
  <c r="J6"/>
  <c r="F6"/>
  <c r="R3"/>
  <c r="Q3"/>
  <c r="I3"/>
  <c r="G3"/>
  <c r="B3"/>
  <c r="R2"/>
  <c r="Q2"/>
  <c r="J2"/>
  <c r="I2"/>
  <c r="H2"/>
  <c r="G2"/>
  <c r="B2"/>
  <c r="R1"/>
  <c r="Q1"/>
  <c r="C1"/>
  <c r="G115" i="1"/>
  <c r="C64" i="4"/>
  <c r="G67" i="1"/>
  <c r="C67" i="4" s="1"/>
  <c r="B2" i="1"/>
  <c r="J2"/>
  <c r="I3"/>
  <c r="I2"/>
  <c r="H2"/>
  <c r="C71" i="4"/>
  <c r="C70"/>
  <c r="G82" i="1"/>
  <c r="C82" i="4" s="1"/>
  <c r="G8" i="1"/>
  <c r="C15" i="4"/>
  <c r="G29" i="1"/>
  <c r="G43"/>
  <c r="C43" i="4" s="1"/>
  <c r="G17" i="1"/>
  <c r="G16"/>
  <c r="G38"/>
  <c r="C38" i="4" s="1"/>
  <c r="G66" i="1"/>
  <c r="C66" i="4" s="1"/>
  <c r="G40" i="1"/>
  <c r="C40" i="4" s="1"/>
  <c r="G60" i="1"/>
  <c r="C60" i="4" s="1"/>
  <c r="G59" i="1"/>
  <c r="G58"/>
  <c r="C58" i="4" s="1"/>
  <c r="G36" i="1"/>
  <c r="G45"/>
  <c r="C45" i="4" s="1"/>
  <c r="C18"/>
  <c r="G3" i="1"/>
  <c r="E102"/>
  <c r="G2"/>
  <c r="G103"/>
  <c r="C103" i="4" s="1"/>
  <c r="D103" s="1"/>
  <c r="G7" i="1"/>
  <c r="C7" i="4" s="1"/>
  <c r="C107"/>
  <c r="D107" s="1"/>
  <c r="C106"/>
  <c r="C105"/>
  <c r="D105" s="1"/>
  <c r="C104"/>
  <c r="D104" s="1"/>
  <c r="C102"/>
  <c r="D102" s="1"/>
  <c r="C101"/>
  <c r="D101" s="1"/>
  <c r="C100"/>
  <c r="D100" s="1"/>
  <c r="C97"/>
  <c r="C96"/>
  <c r="C95"/>
  <c r="C93"/>
  <c r="D93" s="1"/>
  <c r="C92"/>
  <c r="C91"/>
  <c r="C90"/>
  <c r="C88"/>
  <c r="D88" s="1"/>
  <c r="C87"/>
  <c r="C86"/>
  <c r="C85"/>
  <c r="C84"/>
  <c r="C83"/>
  <c r="C80"/>
  <c r="D80" s="1"/>
  <c r="C79"/>
  <c r="C78"/>
  <c r="C77"/>
  <c r="C76"/>
  <c r="C75"/>
  <c r="C74"/>
  <c r="C73"/>
  <c r="C72"/>
  <c r="C69"/>
  <c r="C68"/>
  <c r="C65"/>
  <c r="C63"/>
  <c r="C61"/>
  <c r="C59"/>
  <c r="C56"/>
  <c r="D56" s="1"/>
  <c r="C55"/>
  <c r="C54"/>
  <c r="C53"/>
  <c r="C52"/>
  <c r="C51"/>
  <c r="C50"/>
  <c r="C49"/>
  <c r="C48"/>
  <c r="C47"/>
  <c r="C46"/>
  <c r="C44"/>
  <c r="C42"/>
  <c r="C41"/>
  <c r="C39"/>
  <c r="C37"/>
  <c r="C36"/>
  <c r="C35"/>
  <c r="C34"/>
  <c r="C33"/>
  <c r="C32"/>
  <c r="C31"/>
  <c r="C30"/>
  <c r="C29"/>
  <c r="C28"/>
  <c r="C24"/>
  <c r="C23"/>
  <c r="C22"/>
  <c r="C21"/>
  <c r="C20"/>
  <c r="C17"/>
  <c r="C16"/>
  <c r="C14"/>
  <c r="C13"/>
  <c r="C12"/>
  <c r="C11"/>
  <c r="C10"/>
  <c r="C9"/>
  <c r="C8"/>
  <c r="C6"/>
  <c r="C113"/>
  <c r="B113"/>
  <c r="B112"/>
  <c r="B111"/>
  <c r="F110"/>
  <c r="B110"/>
  <c r="F109"/>
  <c r="B109"/>
  <c r="F108"/>
  <c r="B108"/>
  <c r="F107"/>
  <c r="B107"/>
  <c r="F106"/>
  <c r="D106"/>
  <c r="B106"/>
  <c r="F105"/>
  <c r="B105"/>
  <c r="F104"/>
  <c r="B104"/>
  <c r="F103"/>
  <c r="B103"/>
  <c r="F102"/>
  <c r="B102"/>
  <c r="F101"/>
  <c r="B101"/>
  <c r="F100"/>
  <c r="B100"/>
  <c r="F99"/>
  <c r="B99"/>
  <c r="B98"/>
  <c r="F97"/>
  <c r="B97"/>
  <c r="F96"/>
  <c r="B96"/>
  <c r="F95"/>
  <c r="B95"/>
  <c r="F94"/>
  <c r="B94"/>
  <c r="F93"/>
  <c r="F92"/>
  <c r="B92"/>
  <c r="F91"/>
  <c r="B91"/>
  <c r="F90"/>
  <c r="B90"/>
  <c r="F89"/>
  <c r="B89"/>
  <c r="F88"/>
  <c r="F87"/>
  <c r="B87"/>
  <c r="F86"/>
  <c r="B86"/>
  <c r="F85"/>
  <c r="B85"/>
  <c r="F84"/>
  <c r="B84"/>
  <c r="F83"/>
  <c r="B83"/>
  <c r="F82"/>
  <c r="B82"/>
  <c r="F81"/>
  <c r="B81"/>
  <c r="F80"/>
  <c r="H79"/>
  <c r="F79"/>
  <c r="B79"/>
  <c r="F78"/>
  <c r="B78"/>
  <c r="F77"/>
  <c r="B77"/>
  <c r="F76"/>
  <c r="B76"/>
  <c r="F75"/>
  <c r="B75"/>
  <c r="F74"/>
  <c r="B74"/>
  <c r="F73"/>
  <c r="B73"/>
  <c r="F72"/>
  <c r="B72"/>
  <c r="F71"/>
  <c r="B71"/>
  <c r="F70"/>
  <c r="B70"/>
  <c r="F69"/>
  <c r="B69"/>
  <c r="F68"/>
  <c r="B68"/>
  <c r="F67"/>
  <c r="B67"/>
  <c r="F66"/>
  <c r="B66"/>
  <c r="F65"/>
  <c r="B65"/>
  <c r="F64"/>
  <c r="B64"/>
  <c r="F63"/>
  <c r="B63"/>
  <c r="F62"/>
  <c r="B62"/>
  <c r="F61"/>
  <c r="B61"/>
  <c r="F60"/>
  <c r="B60"/>
  <c r="F59"/>
  <c r="B59"/>
  <c r="F58"/>
  <c r="B58"/>
  <c r="F57"/>
  <c r="B57"/>
  <c r="F56"/>
  <c r="B56"/>
  <c r="F55"/>
  <c r="B55"/>
  <c r="F54"/>
  <c r="B54"/>
  <c r="F53"/>
  <c r="B53"/>
  <c r="F52"/>
  <c r="B52"/>
  <c r="F51"/>
  <c r="B51"/>
  <c r="F50"/>
  <c r="B50"/>
  <c r="F49"/>
  <c r="B49"/>
  <c r="F48"/>
  <c r="B48"/>
  <c r="F47"/>
  <c r="B47"/>
  <c r="F46"/>
  <c r="B46"/>
  <c r="F45"/>
  <c r="B45"/>
  <c r="F44"/>
  <c r="B44"/>
  <c r="F43"/>
  <c r="B43"/>
  <c r="F42"/>
  <c r="B42"/>
  <c r="F41"/>
  <c r="B41"/>
  <c r="F40"/>
  <c r="B40"/>
  <c r="F39"/>
  <c r="B39"/>
  <c r="F38"/>
  <c r="B38"/>
  <c r="F37"/>
  <c r="B37"/>
  <c r="F36"/>
  <c r="B36"/>
  <c r="F35"/>
  <c r="B35"/>
  <c r="F34"/>
  <c r="B34"/>
  <c r="F33"/>
  <c r="B33"/>
  <c r="F32"/>
  <c r="B32"/>
  <c r="F31"/>
  <c r="B31"/>
  <c r="F30"/>
  <c r="B30"/>
  <c r="F29"/>
  <c r="B29"/>
  <c r="F28"/>
  <c r="B28"/>
  <c r="F27"/>
  <c r="B27"/>
  <c r="F26"/>
  <c r="B26"/>
  <c r="F25"/>
  <c r="B25"/>
  <c r="F24"/>
  <c r="D24"/>
  <c r="B24"/>
  <c r="F23"/>
  <c r="D23"/>
  <c r="B23"/>
  <c r="F22"/>
  <c r="D22"/>
  <c r="B22"/>
  <c r="F21"/>
  <c r="D21"/>
  <c r="B21"/>
  <c r="F20"/>
  <c r="D20"/>
  <c r="B20"/>
  <c r="F19"/>
  <c r="B19"/>
  <c r="F18"/>
  <c r="B18"/>
  <c r="F17"/>
  <c r="B17"/>
  <c r="F16"/>
  <c r="B16"/>
  <c r="F15"/>
  <c r="B15"/>
  <c r="F14"/>
  <c r="B14"/>
  <c r="F13"/>
  <c r="B13"/>
  <c r="F12"/>
  <c r="B12"/>
  <c r="F11"/>
  <c r="B11"/>
  <c r="F10"/>
  <c r="B10"/>
  <c r="F9"/>
  <c r="B9"/>
  <c r="F8"/>
  <c r="B8"/>
  <c r="F7"/>
  <c r="B7"/>
  <c r="F6"/>
  <c r="B6"/>
  <c r="F113" i="1"/>
  <c r="J57" i="23" l="1"/>
  <c r="T30"/>
  <c r="U30"/>
  <c r="T33"/>
  <c r="T34"/>
  <c r="U34"/>
  <c r="T50"/>
  <c r="V32"/>
  <c r="V42"/>
  <c r="T31"/>
  <c r="T32"/>
  <c r="T35"/>
  <c r="T42"/>
  <c r="T10"/>
  <c r="T9"/>
  <c r="U9"/>
  <c r="S9"/>
  <c r="V9"/>
  <c r="Q113"/>
  <c r="T40"/>
  <c r="S40"/>
  <c r="V40"/>
  <c r="U40"/>
  <c r="T12"/>
  <c r="V12"/>
  <c r="U12"/>
  <c r="S12"/>
  <c r="S15"/>
  <c r="V15"/>
  <c r="S17"/>
  <c r="U17"/>
  <c r="T17"/>
  <c r="J20"/>
  <c r="J24" s="1"/>
  <c r="G24"/>
  <c r="D98"/>
  <c r="D111" s="1"/>
  <c r="V33"/>
  <c r="U33"/>
  <c r="V36"/>
  <c r="U36"/>
  <c r="T36"/>
  <c r="S36"/>
  <c r="V50"/>
  <c r="U50"/>
  <c r="T61"/>
  <c r="V61"/>
  <c r="U61"/>
  <c r="S61"/>
  <c r="V84"/>
  <c r="T84"/>
  <c r="K22"/>
  <c r="N22" s="1"/>
  <c r="J99"/>
  <c r="T99" s="1"/>
  <c r="S106"/>
  <c r="U6"/>
  <c r="G25"/>
  <c r="G109" s="1"/>
  <c r="S16"/>
  <c r="T16"/>
  <c r="V17"/>
  <c r="S18"/>
  <c r="V18"/>
  <c r="U18"/>
  <c r="P113"/>
  <c r="M24"/>
  <c r="L25"/>
  <c r="L109" s="1"/>
  <c r="L113" s="1"/>
  <c r="U45"/>
  <c r="T45"/>
  <c r="S45"/>
  <c r="E57"/>
  <c r="F58"/>
  <c r="U79"/>
  <c r="V79"/>
  <c r="S79"/>
  <c r="S82"/>
  <c r="G99"/>
  <c r="H21"/>
  <c r="H24" s="1"/>
  <c r="N112"/>
  <c r="C19"/>
  <c r="C25" s="1"/>
  <c r="C109" s="1"/>
  <c r="F7"/>
  <c r="J7"/>
  <c r="J19" s="1"/>
  <c r="J25" s="1"/>
  <c r="J109" s="1"/>
  <c r="V10"/>
  <c r="T15"/>
  <c r="T18"/>
  <c r="M25"/>
  <c r="M109" s="1"/>
  <c r="M113" s="1"/>
  <c r="R27"/>
  <c r="T29"/>
  <c r="S29"/>
  <c r="V29"/>
  <c r="U29"/>
  <c r="V31"/>
  <c r="U31"/>
  <c r="V35"/>
  <c r="U35"/>
  <c r="F38"/>
  <c r="C27"/>
  <c r="C98" s="1"/>
  <c r="C111" s="1"/>
  <c r="V45"/>
  <c r="V48"/>
  <c r="U48"/>
  <c r="T48"/>
  <c r="S48"/>
  <c r="S51"/>
  <c r="V51"/>
  <c r="T51"/>
  <c r="T53"/>
  <c r="S53"/>
  <c r="V53"/>
  <c r="U53"/>
  <c r="R62"/>
  <c r="U73"/>
  <c r="V77"/>
  <c r="U77"/>
  <c r="T77"/>
  <c r="S77"/>
  <c r="T79"/>
  <c r="G110"/>
  <c r="J82"/>
  <c r="J81" s="1"/>
  <c r="G81"/>
  <c r="F83"/>
  <c r="D81"/>
  <c r="F90"/>
  <c r="E89"/>
  <c r="C99"/>
  <c r="D20"/>
  <c r="D24" s="1"/>
  <c r="U102"/>
  <c r="N99"/>
  <c r="U99" s="1"/>
  <c r="O20"/>
  <c r="I112"/>
  <c r="I113" s="1"/>
  <c r="E1"/>
  <c r="E4" s="1"/>
  <c r="E2"/>
  <c r="F8"/>
  <c r="T11"/>
  <c r="U11"/>
  <c r="S11"/>
  <c r="V11"/>
  <c r="V14"/>
  <c r="U15"/>
  <c r="U16"/>
  <c r="E24"/>
  <c r="N20"/>
  <c r="N24" s="1"/>
  <c r="K24"/>
  <c r="F28"/>
  <c r="E27"/>
  <c r="E98" s="1"/>
  <c r="E111" s="1"/>
  <c r="V47"/>
  <c r="U47"/>
  <c r="S47"/>
  <c r="U51"/>
  <c r="N57"/>
  <c r="U59"/>
  <c r="T59"/>
  <c r="S59"/>
  <c r="V59"/>
  <c r="T60"/>
  <c r="V60"/>
  <c r="U60"/>
  <c r="S60"/>
  <c r="S67"/>
  <c r="U67"/>
  <c r="T67"/>
  <c r="V69"/>
  <c r="T69"/>
  <c r="F71"/>
  <c r="V78"/>
  <c r="U78"/>
  <c r="T78"/>
  <c r="S78"/>
  <c r="U84"/>
  <c r="E112"/>
  <c r="E113" s="1"/>
  <c r="E115" s="1"/>
  <c r="J89"/>
  <c r="T96"/>
  <c r="U96"/>
  <c r="S96"/>
  <c r="F94"/>
  <c r="V96"/>
  <c r="T107"/>
  <c r="U14"/>
  <c r="O25"/>
  <c r="O109" s="1"/>
  <c r="V20"/>
  <c r="F20"/>
  <c r="F24" s="1"/>
  <c r="S20"/>
  <c r="C24"/>
  <c r="H98"/>
  <c r="H111" s="1"/>
  <c r="H112" s="1"/>
  <c r="V39"/>
  <c r="U39"/>
  <c r="S39"/>
  <c r="V44"/>
  <c r="U44"/>
  <c r="S44"/>
  <c r="U46"/>
  <c r="T46"/>
  <c r="S46"/>
  <c r="V54"/>
  <c r="U54"/>
  <c r="S54"/>
  <c r="U65"/>
  <c r="T65"/>
  <c r="S65"/>
  <c r="V65"/>
  <c r="T66"/>
  <c r="S66"/>
  <c r="S70"/>
  <c r="T70"/>
  <c r="V85"/>
  <c r="U85"/>
  <c r="S85"/>
  <c r="U92"/>
  <c r="V92"/>
  <c r="S92"/>
  <c r="R94"/>
  <c r="T97"/>
  <c r="V97"/>
  <c r="U97"/>
  <c r="S97"/>
  <c r="V6"/>
  <c r="S6"/>
  <c r="S10"/>
  <c r="T20"/>
  <c r="N27"/>
  <c r="N98" s="1"/>
  <c r="J27"/>
  <c r="J98" s="1"/>
  <c r="V37"/>
  <c r="U37"/>
  <c r="S37"/>
  <c r="T39"/>
  <c r="V43"/>
  <c r="U43"/>
  <c r="T44"/>
  <c r="V46"/>
  <c r="F49"/>
  <c r="V52"/>
  <c r="U52"/>
  <c r="S52"/>
  <c r="T54"/>
  <c r="U63"/>
  <c r="S64"/>
  <c r="V64"/>
  <c r="U64"/>
  <c r="J66"/>
  <c r="J62" s="1"/>
  <c r="G62"/>
  <c r="G98" s="1"/>
  <c r="G111" s="1"/>
  <c r="J111" s="1"/>
  <c r="V68"/>
  <c r="V74"/>
  <c r="U74"/>
  <c r="S74"/>
  <c r="T85"/>
  <c r="V87"/>
  <c r="U87"/>
  <c r="T87"/>
  <c r="S87"/>
  <c r="V91"/>
  <c r="U91"/>
  <c r="S91"/>
  <c r="T92"/>
  <c r="W98"/>
  <c r="W111" s="1"/>
  <c r="K112"/>
  <c r="O112"/>
  <c r="S33"/>
  <c r="U68"/>
  <c r="U72"/>
  <c r="V76"/>
  <c r="S76"/>
  <c r="D110"/>
  <c r="S30"/>
  <c r="S31"/>
  <c r="S32"/>
  <c r="S34"/>
  <c r="S35"/>
  <c r="S41"/>
  <c r="S42"/>
  <c r="S50"/>
  <c r="D62"/>
  <c r="V75"/>
  <c r="S75"/>
  <c r="T76"/>
  <c r="F86"/>
  <c r="T95"/>
  <c r="C110"/>
  <c r="C113" i="8"/>
  <c r="D113" s="1"/>
  <c r="C112"/>
  <c r="D112" s="1"/>
  <c r="C111"/>
  <c r="D111" s="1"/>
  <c r="C110"/>
  <c r="D110" s="1"/>
  <c r="C109"/>
  <c r="D109" s="1"/>
  <c r="C108"/>
  <c r="D108" s="1"/>
  <c r="C107"/>
  <c r="D107" s="1"/>
  <c r="C106"/>
  <c r="D106" s="1"/>
  <c r="C105"/>
  <c r="D105" s="1"/>
  <c r="C104"/>
  <c r="D104" s="1"/>
  <c r="C103"/>
  <c r="D103" s="1"/>
  <c r="C102"/>
  <c r="D102" s="1"/>
  <c r="C101"/>
  <c r="D101" s="1"/>
  <c r="C100"/>
  <c r="D100" s="1"/>
  <c r="C99"/>
  <c r="D99" s="1"/>
  <c r="C98"/>
  <c r="D98" s="1"/>
  <c r="C97"/>
  <c r="D97" s="1"/>
  <c r="C96"/>
  <c r="D96" s="1"/>
  <c r="C95"/>
  <c r="D95" s="1"/>
  <c r="C94"/>
  <c r="D94" s="1"/>
  <c r="C93"/>
  <c r="D93" i="5" s="1"/>
  <c r="C92" i="8"/>
  <c r="D92" s="1"/>
  <c r="C91"/>
  <c r="D91" s="1"/>
  <c r="C90"/>
  <c r="D90" s="1"/>
  <c r="C89"/>
  <c r="D89" s="1"/>
  <c r="C87"/>
  <c r="D87" s="1"/>
  <c r="C86"/>
  <c r="D86" s="1"/>
  <c r="C85"/>
  <c r="D85" s="1"/>
  <c r="C84"/>
  <c r="D84" s="1"/>
  <c r="C83"/>
  <c r="D83" s="1"/>
  <c r="C82"/>
  <c r="D82" s="1"/>
  <c r="C81"/>
  <c r="D81" s="1"/>
  <c r="C80"/>
  <c r="D80" s="1"/>
  <c r="C79"/>
  <c r="D79" s="1"/>
  <c r="C78"/>
  <c r="D78" s="1"/>
  <c r="C77"/>
  <c r="D77" s="1"/>
  <c r="C76"/>
  <c r="D76" s="1"/>
  <c r="C75"/>
  <c r="D75" s="1"/>
  <c r="C74"/>
  <c r="D74" s="1"/>
  <c r="C73"/>
  <c r="D73" s="1"/>
  <c r="C72"/>
  <c r="D72" s="1"/>
  <c r="C71"/>
  <c r="D71" s="1"/>
  <c r="C70"/>
  <c r="D70" s="1"/>
  <c r="C69"/>
  <c r="D69" s="1"/>
  <c r="C68"/>
  <c r="D68" s="1"/>
  <c r="C67"/>
  <c r="D67" s="1"/>
  <c r="C66"/>
  <c r="D66" s="1"/>
  <c r="C65"/>
  <c r="D65" s="1"/>
  <c r="C64"/>
  <c r="D64" s="1"/>
  <c r="C63"/>
  <c r="D63" s="1"/>
  <c r="C62"/>
  <c r="D62" s="1"/>
  <c r="C61"/>
  <c r="D61" s="1"/>
  <c r="C60"/>
  <c r="D60" s="1"/>
  <c r="C59"/>
  <c r="D59" s="1"/>
  <c r="C58"/>
  <c r="D58" s="1"/>
  <c r="C57"/>
  <c r="D57" s="1"/>
  <c r="C56"/>
  <c r="D56" s="1"/>
  <c r="C55"/>
  <c r="D55" s="1"/>
  <c r="C54"/>
  <c r="D54" s="1"/>
  <c r="C53"/>
  <c r="D53" s="1"/>
  <c r="C52"/>
  <c r="D52" s="1"/>
  <c r="C51"/>
  <c r="D51" s="1"/>
  <c r="C50"/>
  <c r="D50" s="1"/>
  <c r="C49"/>
  <c r="D49" s="1"/>
  <c r="C48"/>
  <c r="D48" s="1"/>
  <c r="C47"/>
  <c r="D47" s="1"/>
  <c r="C46"/>
  <c r="D46" s="1"/>
  <c r="C45"/>
  <c r="D45" s="1"/>
  <c r="C44"/>
  <c r="D44" s="1"/>
  <c r="C43"/>
  <c r="D43" s="1"/>
  <c r="C42"/>
  <c r="D42" s="1"/>
  <c r="C41"/>
  <c r="D41" s="1"/>
  <c r="C40"/>
  <c r="D40" s="1"/>
  <c r="C39"/>
  <c r="D39" s="1"/>
  <c r="C38"/>
  <c r="D38" s="1"/>
  <c r="C37"/>
  <c r="D37" s="1"/>
  <c r="C36"/>
  <c r="D36" s="1"/>
  <c r="C35"/>
  <c r="D35" s="1"/>
  <c r="C34"/>
  <c r="D34" s="1"/>
  <c r="C33"/>
  <c r="D33" s="1"/>
  <c r="C32"/>
  <c r="D32" s="1"/>
  <c r="C31"/>
  <c r="D31" s="1"/>
  <c r="C30"/>
  <c r="D30" s="1"/>
  <c r="C29"/>
  <c r="D29" s="1"/>
  <c r="C28"/>
  <c r="D28" s="1"/>
  <c r="C27"/>
  <c r="D27" s="1"/>
  <c r="C26"/>
  <c r="D26" s="1"/>
  <c r="C25"/>
  <c r="D25" s="1"/>
  <c r="C24"/>
  <c r="D24" s="1"/>
  <c r="C23"/>
  <c r="D23" s="1"/>
  <c r="C22"/>
  <c r="D22" s="1"/>
  <c r="C21"/>
  <c r="D21" s="1"/>
  <c r="C20"/>
  <c r="D20" s="1"/>
  <c r="C19"/>
  <c r="D19" s="1"/>
  <c r="C18"/>
  <c r="D18" s="1"/>
  <c r="C17"/>
  <c r="D17" s="1"/>
  <c r="C16"/>
  <c r="D16" s="1"/>
  <c r="C15"/>
  <c r="D15" s="1"/>
  <c r="C14"/>
  <c r="D14" s="1"/>
  <c r="C13"/>
  <c r="D13" s="1"/>
  <c r="C12"/>
  <c r="D12" s="1"/>
  <c r="C11"/>
  <c r="D11" s="1"/>
  <c r="C10"/>
  <c r="D10" s="1"/>
  <c r="C9"/>
  <c r="D9" s="1"/>
  <c r="C8"/>
  <c r="D8" s="1"/>
  <c r="C7"/>
  <c r="D7" s="1"/>
  <c r="B55"/>
  <c r="F96" i="1"/>
  <c r="C96" i="2" s="1"/>
  <c r="S113" i="1"/>
  <c r="F112"/>
  <c r="F94"/>
  <c r="C94" i="2" s="1"/>
  <c r="F25" i="1"/>
  <c r="E66"/>
  <c r="E39"/>
  <c r="W110"/>
  <c r="M108" i="2"/>
  <c r="M107"/>
  <c r="M106"/>
  <c r="M105"/>
  <c r="M104"/>
  <c r="M103"/>
  <c r="M102"/>
  <c r="M101"/>
  <c r="M100"/>
  <c r="M99"/>
  <c r="M97"/>
  <c r="M95"/>
  <c r="M93"/>
  <c r="M88"/>
  <c r="M87"/>
  <c r="M80"/>
  <c r="M79"/>
  <c r="M76"/>
  <c r="M75"/>
  <c r="M61"/>
  <c r="M54"/>
  <c r="M50"/>
  <c r="M49"/>
  <c r="M48"/>
  <c r="M46"/>
  <c r="M44"/>
  <c r="M37"/>
  <c r="M35"/>
  <c r="M33"/>
  <c r="M32"/>
  <c r="M31"/>
  <c r="M30"/>
  <c r="M26"/>
  <c r="M24"/>
  <c r="M23"/>
  <c r="M22"/>
  <c r="M21"/>
  <c r="M20"/>
  <c r="M14"/>
  <c r="M13"/>
  <c r="M12"/>
  <c r="M11"/>
  <c r="M10"/>
  <c r="M9"/>
  <c r="O113"/>
  <c r="O110"/>
  <c r="H110" s="1"/>
  <c r="O109"/>
  <c r="H109" s="1"/>
  <c r="O108"/>
  <c r="O107"/>
  <c r="O106"/>
  <c r="O105"/>
  <c r="O104"/>
  <c r="O103"/>
  <c r="O102"/>
  <c r="O101"/>
  <c r="O100"/>
  <c r="O99"/>
  <c r="O97"/>
  <c r="H97" s="1"/>
  <c r="O96"/>
  <c r="O95"/>
  <c r="H95" s="1"/>
  <c r="O94"/>
  <c r="H94" s="1"/>
  <c r="O93"/>
  <c r="O92"/>
  <c r="H92" s="1"/>
  <c r="O91"/>
  <c r="H91" s="1"/>
  <c r="O90"/>
  <c r="H90" s="1"/>
  <c r="O89"/>
  <c r="H89" s="1"/>
  <c r="O88"/>
  <c r="O87"/>
  <c r="H87" s="1"/>
  <c r="O86"/>
  <c r="H86" s="1"/>
  <c r="O85"/>
  <c r="O84"/>
  <c r="H84" s="1"/>
  <c r="O83"/>
  <c r="H83" s="1"/>
  <c r="O82"/>
  <c r="H82" s="1"/>
  <c r="O81"/>
  <c r="H81" s="1"/>
  <c r="O80"/>
  <c r="O79"/>
  <c r="H79" s="1"/>
  <c r="O78"/>
  <c r="H78" s="1"/>
  <c r="O77"/>
  <c r="H77" s="1"/>
  <c r="O76"/>
  <c r="H76" s="1"/>
  <c r="O75"/>
  <c r="O74"/>
  <c r="H74" s="1"/>
  <c r="O73"/>
  <c r="H73" s="1"/>
  <c r="O72"/>
  <c r="H72" s="1"/>
  <c r="O71"/>
  <c r="H71" s="1"/>
  <c r="O70"/>
  <c r="H70" s="1"/>
  <c r="O69"/>
  <c r="H69" s="1"/>
  <c r="O68"/>
  <c r="H68" s="1"/>
  <c r="O67"/>
  <c r="H67" s="1"/>
  <c r="O66"/>
  <c r="H66" s="1"/>
  <c r="O65"/>
  <c r="H65" s="1"/>
  <c r="O64"/>
  <c r="H64" s="1"/>
  <c r="O63"/>
  <c r="H63" s="1"/>
  <c r="O62"/>
  <c r="H62" s="1"/>
  <c r="O61"/>
  <c r="H61" s="1"/>
  <c r="O60"/>
  <c r="H60" s="1"/>
  <c r="O59"/>
  <c r="H59" s="1"/>
  <c r="O58"/>
  <c r="H58" s="1"/>
  <c r="O57"/>
  <c r="H57" s="1"/>
  <c r="O54"/>
  <c r="H54" s="1"/>
  <c r="O53"/>
  <c r="H53" s="1"/>
  <c r="O52"/>
  <c r="H52" s="1"/>
  <c r="O51"/>
  <c r="H51" s="1"/>
  <c r="O50"/>
  <c r="H50" s="1"/>
  <c r="O49"/>
  <c r="H49" s="1"/>
  <c r="O48"/>
  <c r="H48" s="1"/>
  <c r="O47"/>
  <c r="H47" s="1"/>
  <c r="O46"/>
  <c r="O45"/>
  <c r="H45" s="1"/>
  <c r="O44"/>
  <c r="O43"/>
  <c r="H43" s="1"/>
  <c r="O42"/>
  <c r="H42" s="1"/>
  <c r="O41"/>
  <c r="H41" s="1"/>
  <c r="O40"/>
  <c r="H40" s="1"/>
  <c r="O39"/>
  <c r="H39" s="1"/>
  <c r="O38"/>
  <c r="H38" s="1"/>
  <c r="O37"/>
  <c r="H37" s="1"/>
  <c r="O36"/>
  <c r="H36" s="1"/>
  <c r="O35"/>
  <c r="H35" s="1"/>
  <c r="O34"/>
  <c r="H34" s="1"/>
  <c r="O33"/>
  <c r="H33" s="1"/>
  <c r="O32"/>
  <c r="H32" s="1"/>
  <c r="O31"/>
  <c r="H31" s="1"/>
  <c r="O30"/>
  <c r="H30" s="1"/>
  <c r="O29"/>
  <c r="H29" s="1"/>
  <c r="O28"/>
  <c r="H28" s="1"/>
  <c r="O27"/>
  <c r="H27" s="1"/>
  <c r="O26"/>
  <c r="O25"/>
  <c r="H25" s="1"/>
  <c r="O24"/>
  <c r="H24" s="1"/>
  <c r="O23"/>
  <c r="H23" s="1"/>
  <c r="O22"/>
  <c r="H22" s="1"/>
  <c r="O21"/>
  <c r="H21" s="1"/>
  <c r="O20"/>
  <c r="H20" s="1"/>
  <c r="O19"/>
  <c r="H19" s="1"/>
  <c r="O18"/>
  <c r="H18" s="1"/>
  <c r="O17"/>
  <c r="H17" s="1"/>
  <c r="O16"/>
  <c r="H16" s="1"/>
  <c r="O15"/>
  <c r="H15" s="1"/>
  <c r="O14"/>
  <c r="H14" s="1"/>
  <c r="O13"/>
  <c r="H13" s="1"/>
  <c r="O12"/>
  <c r="H12" s="1"/>
  <c r="O11"/>
  <c r="O10"/>
  <c r="H10" s="1"/>
  <c r="O9"/>
  <c r="H9" s="1"/>
  <c r="O8"/>
  <c r="H8" s="1"/>
  <c r="O7"/>
  <c r="H7" s="1"/>
  <c r="C110"/>
  <c r="C107"/>
  <c r="C106"/>
  <c r="C105"/>
  <c r="C104"/>
  <c r="C103"/>
  <c r="C102"/>
  <c r="C101"/>
  <c r="C100"/>
  <c r="C99"/>
  <c r="C97"/>
  <c r="C95"/>
  <c r="C92"/>
  <c r="C91"/>
  <c r="C90"/>
  <c r="C89"/>
  <c r="C86"/>
  <c r="C85"/>
  <c r="C84"/>
  <c r="C83"/>
  <c r="C82"/>
  <c r="C81"/>
  <c r="C79"/>
  <c r="C78"/>
  <c r="C77"/>
  <c r="C76"/>
  <c r="C75"/>
  <c r="C74"/>
  <c r="C73"/>
  <c r="C72"/>
  <c r="C71"/>
  <c r="C70"/>
  <c r="C69"/>
  <c r="C68"/>
  <c r="C67"/>
  <c r="C65"/>
  <c r="C64"/>
  <c r="C63"/>
  <c r="C61"/>
  <c r="C60"/>
  <c r="C59"/>
  <c r="C58"/>
  <c r="C57"/>
  <c r="C56"/>
  <c r="C55"/>
  <c r="C54"/>
  <c r="C53"/>
  <c r="C52"/>
  <c r="C51"/>
  <c r="C50"/>
  <c r="C49"/>
  <c r="C48"/>
  <c r="C47"/>
  <c r="C45"/>
  <c r="C43"/>
  <c r="C42"/>
  <c r="C41"/>
  <c r="C40"/>
  <c r="C38"/>
  <c r="C37"/>
  <c r="C36"/>
  <c r="C35"/>
  <c r="C34"/>
  <c r="C33"/>
  <c r="C32"/>
  <c r="C31"/>
  <c r="C30"/>
  <c r="C29"/>
  <c r="C28"/>
  <c r="C25"/>
  <c r="C24"/>
  <c r="C23"/>
  <c r="C22"/>
  <c r="C21"/>
  <c r="C20"/>
  <c r="C19"/>
  <c r="C18"/>
  <c r="C17"/>
  <c r="C16"/>
  <c r="C15"/>
  <c r="C14"/>
  <c r="C13"/>
  <c r="C12"/>
  <c r="C11"/>
  <c r="C10"/>
  <c r="C9"/>
  <c r="C8"/>
  <c r="C7"/>
  <c r="D110"/>
  <c r="E110" s="1"/>
  <c r="D109"/>
  <c r="D107"/>
  <c r="D106"/>
  <c r="D105"/>
  <c r="D104"/>
  <c r="D103"/>
  <c r="D102"/>
  <c r="D101"/>
  <c r="D100"/>
  <c r="D99"/>
  <c r="D97"/>
  <c r="D95"/>
  <c r="D92"/>
  <c r="E92" s="1"/>
  <c r="D91"/>
  <c r="E91" s="1"/>
  <c r="D90"/>
  <c r="E90" s="1"/>
  <c r="D89"/>
  <c r="D86"/>
  <c r="E86" s="1"/>
  <c r="D85"/>
  <c r="D84"/>
  <c r="D83"/>
  <c r="E83" s="1"/>
  <c r="D82"/>
  <c r="E82" s="1"/>
  <c r="D81"/>
  <c r="D79"/>
  <c r="D78"/>
  <c r="E78" s="1"/>
  <c r="D77"/>
  <c r="E77" s="1"/>
  <c r="D76"/>
  <c r="E76" s="1"/>
  <c r="D75"/>
  <c r="D74"/>
  <c r="D73"/>
  <c r="D72"/>
  <c r="D71"/>
  <c r="D70"/>
  <c r="D69"/>
  <c r="D68"/>
  <c r="D67"/>
  <c r="D65"/>
  <c r="D64"/>
  <c r="D63"/>
  <c r="D61"/>
  <c r="D60"/>
  <c r="D59"/>
  <c r="D58"/>
  <c r="D57"/>
  <c r="D56"/>
  <c r="D55"/>
  <c r="D54"/>
  <c r="E54" s="1"/>
  <c r="D53"/>
  <c r="E53" s="1"/>
  <c r="D52"/>
  <c r="D51"/>
  <c r="D50"/>
  <c r="D49"/>
  <c r="D48"/>
  <c r="D47"/>
  <c r="D45"/>
  <c r="D43"/>
  <c r="D42"/>
  <c r="D41"/>
  <c r="D40"/>
  <c r="D38"/>
  <c r="D37"/>
  <c r="D36"/>
  <c r="D35"/>
  <c r="D34"/>
  <c r="D33"/>
  <c r="D32"/>
  <c r="D31"/>
  <c r="D30"/>
  <c r="D29"/>
  <c r="D28"/>
  <c r="D25"/>
  <c r="E25" s="1"/>
  <c r="D24"/>
  <c r="D23"/>
  <c r="D22"/>
  <c r="D21"/>
  <c r="D20"/>
  <c r="D19"/>
  <c r="D18"/>
  <c r="D17"/>
  <c r="D16"/>
  <c r="D15"/>
  <c r="D14"/>
  <c r="D13"/>
  <c r="F110" i="3"/>
  <c r="F109"/>
  <c r="F108"/>
  <c r="F107"/>
  <c r="F106"/>
  <c r="F105"/>
  <c r="F104"/>
  <c r="F103"/>
  <c r="F102"/>
  <c r="F101"/>
  <c r="F100"/>
  <c r="F99"/>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D107"/>
  <c r="C107"/>
  <c r="C106"/>
  <c r="D106" s="1"/>
  <c r="C105"/>
  <c r="D105" s="1"/>
  <c r="C104"/>
  <c r="C101"/>
  <c r="C100"/>
  <c r="D100" s="1"/>
  <c r="C97"/>
  <c r="C96"/>
  <c r="C95"/>
  <c r="C87"/>
  <c r="C85"/>
  <c r="C84"/>
  <c r="C79"/>
  <c r="C78"/>
  <c r="C77"/>
  <c r="C76"/>
  <c r="C75"/>
  <c r="C74"/>
  <c r="C73"/>
  <c r="C72"/>
  <c r="C69"/>
  <c r="C68"/>
  <c r="C67"/>
  <c r="C65"/>
  <c r="C63"/>
  <c r="C61"/>
  <c r="C55"/>
  <c r="D55" s="1"/>
  <c r="D55" i="4" s="1"/>
  <c r="C51" i="3"/>
  <c r="C50"/>
  <c r="C48"/>
  <c r="C46"/>
  <c r="C45"/>
  <c r="C44"/>
  <c r="C42"/>
  <c r="C41"/>
  <c r="C39"/>
  <c r="C38"/>
  <c r="C37"/>
  <c r="C35"/>
  <c r="C34"/>
  <c r="C33"/>
  <c r="C32"/>
  <c r="C31"/>
  <c r="C30"/>
  <c r="C14"/>
  <c r="C13"/>
  <c r="C12"/>
  <c r="C11"/>
  <c r="C10"/>
  <c r="B113"/>
  <c r="B112"/>
  <c r="B111"/>
  <c r="B110"/>
  <c r="B109"/>
  <c r="B108"/>
  <c r="B107"/>
  <c r="B106"/>
  <c r="B105"/>
  <c r="B104"/>
  <c r="B103"/>
  <c r="B102"/>
  <c r="B101"/>
  <c r="B100"/>
  <c r="B99"/>
  <c r="B98"/>
  <c r="B97"/>
  <c r="B96"/>
  <c r="B95"/>
  <c r="B94"/>
  <c r="B92"/>
  <c r="B91"/>
  <c r="B90"/>
  <c r="B89"/>
  <c r="B87"/>
  <c r="B86"/>
  <c r="B85"/>
  <c r="B84"/>
  <c r="B83"/>
  <c r="B82"/>
  <c r="B81"/>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132" i="2"/>
  <c r="B113"/>
  <c r="B112"/>
  <c r="B111"/>
  <c r="B110"/>
  <c r="B109"/>
  <c r="B108"/>
  <c r="B107"/>
  <c r="B106"/>
  <c r="B105"/>
  <c r="B104"/>
  <c r="B103"/>
  <c r="B102"/>
  <c r="B101"/>
  <c r="B100"/>
  <c r="B99"/>
  <c r="B98"/>
  <c r="B97"/>
  <c r="B96"/>
  <c r="B95"/>
  <c r="B94"/>
  <c r="B92"/>
  <c r="B91"/>
  <c r="B90"/>
  <c r="B89"/>
  <c r="B87"/>
  <c r="B86"/>
  <c r="B85"/>
  <c r="B84"/>
  <c r="B83"/>
  <c r="B82"/>
  <c r="B81"/>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D104" i="3"/>
  <c r="D101"/>
  <c r="D23"/>
  <c r="D22"/>
  <c r="D21"/>
  <c r="C102"/>
  <c r="D102" s="1"/>
  <c r="E9" i="1"/>
  <c r="C9" i="3" s="1"/>
  <c r="E86" i="1"/>
  <c r="E8"/>
  <c r="C8" i="3" s="1"/>
  <c r="E83" i="1"/>
  <c r="C83" i="3" s="1"/>
  <c r="E82" i="1"/>
  <c r="C82" i="3" s="1"/>
  <c r="E54" i="1"/>
  <c r="C54" i="3" s="1"/>
  <c r="E28" i="1"/>
  <c r="C28" i="3" s="1"/>
  <c r="C66"/>
  <c r="E40" i="1"/>
  <c r="C40" i="3" s="1"/>
  <c r="E36" i="1"/>
  <c r="C36" i="3" s="1"/>
  <c r="E43" i="1"/>
  <c r="C43" i="3" s="1"/>
  <c r="E47" i="1"/>
  <c r="C47" i="3" s="1"/>
  <c r="E49" i="1"/>
  <c r="C49" i="3" s="1"/>
  <c r="E59" i="1"/>
  <c r="C59" i="3" s="1"/>
  <c r="E60" i="1"/>
  <c r="C60" i="3" s="1"/>
  <c r="E58" i="1"/>
  <c r="C58" i="3" s="1"/>
  <c r="E29" i="1"/>
  <c r="C29" i="3" s="1"/>
  <c r="E52" i="1"/>
  <c r="C52" i="3" s="1"/>
  <c r="E53" i="1"/>
  <c r="C53" i="3" s="1"/>
  <c r="E70" i="1"/>
  <c r="C70" i="3" s="1"/>
  <c r="E71" i="1"/>
  <c r="C71" i="3" s="1"/>
  <c r="E92" i="1"/>
  <c r="C92" i="3" s="1"/>
  <c r="E91" i="1"/>
  <c r="C91" i="3" s="1"/>
  <c r="E90" i="1"/>
  <c r="C90" i="3" s="1"/>
  <c r="E64" i="1"/>
  <c r="C64" i="3" s="1"/>
  <c r="E18" i="1"/>
  <c r="C18" i="3" s="1"/>
  <c r="E17" i="1"/>
  <c r="C17" i="3" s="1"/>
  <c r="E16" i="1"/>
  <c r="C16" i="3" s="1"/>
  <c r="E15" i="1"/>
  <c r="E103"/>
  <c r="C103" i="3" s="1"/>
  <c r="D103" s="1"/>
  <c r="E7" i="1"/>
  <c r="C7" i="3" s="1"/>
  <c r="D108" i="5" l="1"/>
  <c r="E19" i="2"/>
  <c r="E81"/>
  <c r="E97"/>
  <c r="N54"/>
  <c r="D93" i="8"/>
  <c r="V82" i="23"/>
  <c r="T24"/>
  <c r="S24"/>
  <c r="U24"/>
  <c r="V24"/>
  <c r="F111"/>
  <c r="V7"/>
  <c r="V19" s="1"/>
  <c r="V25" s="1"/>
  <c r="V109" s="1"/>
  <c r="U7"/>
  <c r="F19"/>
  <c r="F25" s="1"/>
  <c r="F109" s="1"/>
  <c r="T7"/>
  <c r="S7"/>
  <c r="S19" s="1"/>
  <c r="S25" s="1"/>
  <c r="S109" s="1"/>
  <c r="T58"/>
  <c r="T57" s="1"/>
  <c r="S58"/>
  <c r="S57" s="1"/>
  <c r="V58"/>
  <c r="V57" s="1"/>
  <c r="F57"/>
  <c r="U58"/>
  <c r="U57" s="1"/>
  <c r="V8"/>
  <c r="S8"/>
  <c r="U8"/>
  <c r="T8"/>
  <c r="F110"/>
  <c r="C112"/>
  <c r="C113" s="1"/>
  <c r="U94"/>
  <c r="S94"/>
  <c r="V94"/>
  <c r="T94"/>
  <c r="S90"/>
  <c r="F89"/>
  <c r="V90"/>
  <c r="U90"/>
  <c r="T90"/>
  <c r="J110"/>
  <c r="J112" s="1"/>
  <c r="J113" s="1"/>
  <c r="G112"/>
  <c r="U82"/>
  <c r="G113"/>
  <c r="V86"/>
  <c r="T86"/>
  <c r="S86"/>
  <c r="U86"/>
  <c r="V66"/>
  <c r="O113"/>
  <c r="R20"/>
  <c r="O24"/>
  <c r="S83"/>
  <c r="S81" s="1"/>
  <c r="V83"/>
  <c r="U83"/>
  <c r="T83"/>
  <c r="F81"/>
  <c r="S38"/>
  <c r="V38"/>
  <c r="T38"/>
  <c r="U38"/>
  <c r="H25"/>
  <c r="H109" s="1"/>
  <c r="H113" s="1"/>
  <c r="D25"/>
  <c r="D109" s="1"/>
  <c r="D113" s="1"/>
  <c r="N25"/>
  <c r="N109" s="1"/>
  <c r="N113" s="1"/>
  <c r="D112"/>
  <c r="T49"/>
  <c r="S49"/>
  <c r="V49"/>
  <c r="U49"/>
  <c r="U66"/>
  <c r="K25"/>
  <c r="K109" s="1"/>
  <c r="K113" s="1"/>
  <c r="S71"/>
  <c r="U71"/>
  <c r="T71"/>
  <c r="V71"/>
  <c r="F62"/>
  <c r="T28"/>
  <c r="F27"/>
  <c r="S28"/>
  <c r="S27" s="1"/>
  <c r="V28"/>
  <c r="U28"/>
  <c r="R98"/>
  <c r="R111" s="1"/>
  <c r="R112" s="1"/>
  <c r="T82"/>
  <c r="T81" s="1"/>
  <c r="E110" i="1"/>
  <c r="C110" i="3" s="1"/>
  <c r="C15"/>
  <c r="C86"/>
  <c r="D70" i="1"/>
  <c r="C88" i="8"/>
  <c r="D88" s="1"/>
  <c r="D71" i="1"/>
  <c r="C71"/>
  <c r="C70"/>
  <c r="D53"/>
  <c r="D54"/>
  <c r="F113" i="5"/>
  <c r="F108"/>
  <c r="F107"/>
  <c r="F106"/>
  <c r="F105"/>
  <c r="F104"/>
  <c r="F103"/>
  <c r="F102"/>
  <c r="F101"/>
  <c r="F100"/>
  <c r="F99"/>
  <c r="F97"/>
  <c r="F96"/>
  <c r="F95"/>
  <c r="F61"/>
  <c r="F92"/>
  <c r="F91"/>
  <c r="F90"/>
  <c r="F13"/>
  <c r="C97"/>
  <c r="D97" s="1"/>
  <c r="D97" i="3" s="1"/>
  <c r="D97" i="4" s="1"/>
  <c r="E97" s="1"/>
  <c r="B97" i="5"/>
  <c r="T19" i="23" l="1"/>
  <c r="T25" s="1"/>
  <c r="T109" s="1"/>
  <c r="U19"/>
  <c r="U25" s="1"/>
  <c r="U109" s="1"/>
  <c r="F114"/>
  <c r="C115"/>
  <c r="F98"/>
  <c r="U89"/>
  <c r="V89"/>
  <c r="T89"/>
  <c r="S89"/>
  <c r="F112"/>
  <c r="T110"/>
  <c r="U110"/>
  <c r="S110"/>
  <c r="V110"/>
  <c r="S111"/>
  <c r="U111"/>
  <c r="T111"/>
  <c r="V111"/>
  <c r="U27"/>
  <c r="T27"/>
  <c r="T98" s="1"/>
  <c r="R24"/>
  <c r="R25"/>
  <c r="R109" s="1"/>
  <c r="R113" s="1"/>
  <c r="U81"/>
  <c r="V81"/>
  <c r="V27"/>
  <c r="T62"/>
  <c r="U62"/>
  <c r="S62"/>
  <c r="S98" s="1"/>
  <c r="V62"/>
  <c r="F110" i="5"/>
  <c r="F86"/>
  <c r="F85"/>
  <c r="F84"/>
  <c r="F83"/>
  <c r="F82"/>
  <c r="F80"/>
  <c r="F79"/>
  <c r="F78"/>
  <c r="F77"/>
  <c r="F76"/>
  <c r="F75"/>
  <c r="F74"/>
  <c r="F73"/>
  <c r="F72"/>
  <c r="F71"/>
  <c r="F70"/>
  <c r="F69"/>
  <c r="F68"/>
  <c r="F67"/>
  <c r="F66"/>
  <c r="F65"/>
  <c r="F64"/>
  <c r="F63"/>
  <c r="F60"/>
  <c r="F58"/>
  <c r="F54"/>
  <c r="F53"/>
  <c r="F52"/>
  <c r="F51"/>
  <c r="F50"/>
  <c r="F49"/>
  <c r="F48"/>
  <c r="F47"/>
  <c r="F46"/>
  <c r="F45"/>
  <c r="F44"/>
  <c r="F43"/>
  <c r="F42"/>
  <c r="F41"/>
  <c r="F40"/>
  <c r="F39"/>
  <c r="F38"/>
  <c r="F37"/>
  <c r="F36"/>
  <c r="F35"/>
  <c r="F34"/>
  <c r="F33"/>
  <c r="F32"/>
  <c r="F31"/>
  <c r="F30"/>
  <c r="F29"/>
  <c r="F28"/>
  <c r="F18"/>
  <c r="F17"/>
  <c r="F16"/>
  <c r="F15"/>
  <c r="F14"/>
  <c r="F12"/>
  <c r="F11"/>
  <c r="F10"/>
  <c r="F9"/>
  <c r="F8"/>
  <c r="F7"/>
  <c r="F6"/>
  <c r="C63"/>
  <c r="D63" s="1"/>
  <c r="C32"/>
  <c r="D32" s="1"/>
  <c r="C13"/>
  <c r="D13" s="1"/>
  <c r="B63"/>
  <c r="B32"/>
  <c r="B13"/>
  <c r="D64" i="1"/>
  <c r="C64" i="5" s="1"/>
  <c r="D64" s="1"/>
  <c r="D18" i="1"/>
  <c r="D101"/>
  <c r="D105"/>
  <c r="D17"/>
  <c r="D106"/>
  <c r="D96"/>
  <c r="C96" i="5" s="1"/>
  <c r="D96" s="1"/>
  <c r="D96" i="3" s="1"/>
  <c r="D96" i="4" s="1"/>
  <c r="D85" i="1"/>
  <c r="D86"/>
  <c r="D8"/>
  <c r="D103"/>
  <c r="D7"/>
  <c r="D102"/>
  <c r="D21"/>
  <c r="D23"/>
  <c r="D16"/>
  <c r="D15"/>
  <c r="D9"/>
  <c r="D66"/>
  <c r="D58"/>
  <c r="D59"/>
  <c r="D60"/>
  <c r="D47"/>
  <c r="D29"/>
  <c r="D65"/>
  <c r="D67"/>
  <c r="D74"/>
  <c r="D51"/>
  <c r="D38"/>
  <c r="D82"/>
  <c r="D83"/>
  <c r="B6" i="8"/>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7"/>
  <c r="B58"/>
  <c r="B59"/>
  <c r="B60"/>
  <c r="B62"/>
  <c r="B63"/>
  <c r="B64"/>
  <c r="B65"/>
  <c r="B66"/>
  <c r="B67"/>
  <c r="B68"/>
  <c r="B69"/>
  <c r="B70"/>
  <c r="B71"/>
  <c r="B72"/>
  <c r="B73"/>
  <c r="B74"/>
  <c r="B75"/>
  <c r="B76"/>
  <c r="B77"/>
  <c r="B78"/>
  <c r="B79"/>
  <c r="B81"/>
  <c r="B82"/>
  <c r="B83"/>
  <c r="B84"/>
  <c r="B85"/>
  <c r="B86"/>
  <c r="B87"/>
  <c r="B89"/>
  <c r="B90"/>
  <c r="B91"/>
  <c r="B92"/>
  <c r="B94"/>
  <c r="B95"/>
  <c r="B96"/>
  <c r="B97"/>
  <c r="B98"/>
  <c r="B99"/>
  <c r="B100"/>
  <c r="B101"/>
  <c r="B102"/>
  <c r="B103"/>
  <c r="B104"/>
  <c r="B105"/>
  <c r="B106"/>
  <c r="B107"/>
  <c r="B108"/>
  <c r="B109"/>
  <c r="B110"/>
  <c r="B111"/>
  <c r="B112"/>
  <c r="F63"/>
  <c r="F54"/>
  <c r="F32"/>
  <c r="F14"/>
  <c r="W20" i="1"/>
  <c r="W94"/>
  <c r="R97"/>
  <c r="N97"/>
  <c r="J97"/>
  <c r="F97"/>
  <c r="R63"/>
  <c r="N63"/>
  <c r="J63"/>
  <c r="F63"/>
  <c r="W59"/>
  <c r="R32"/>
  <c r="N32"/>
  <c r="J32"/>
  <c r="F32"/>
  <c r="U98" i="23" l="1"/>
  <c r="V112"/>
  <c r="V113" s="1"/>
  <c r="U112"/>
  <c r="U113" s="1"/>
  <c r="T112"/>
  <c r="T113" s="1"/>
  <c r="S112"/>
  <c r="S113" s="1"/>
  <c r="F113"/>
  <c r="V98"/>
  <c r="W24" i="1"/>
  <c r="D81"/>
  <c r="F59" i="5"/>
  <c r="T97" i="1"/>
  <c r="D110"/>
  <c r="D32" i="3"/>
  <c r="U32" i="1"/>
  <c r="E32" i="5"/>
  <c r="F62"/>
  <c r="F94"/>
  <c r="V63" i="1"/>
  <c r="M63" i="2" s="1"/>
  <c r="D19" i="1"/>
  <c r="D63" i="3"/>
  <c r="S97" i="1"/>
  <c r="U97"/>
  <c r="V97"/>
  <c r="T63"/>
  <c r="U63"/>
  <c r="S63"/>
  <c r="E63" i="8" s="1"/>
  <c r="V32" i="1"/>
  <c r="S32"/>
  <c r="E32" i="8" s="1"/>
  <c r="T32" i="1"/>
  <c r="E63" i="3" l="1"/>
  <c r="D63" i="4"/>
  <c r="E63" s="1"/>
  <c r="E32" i="3"/>
  <c r="D32" i="4"/>
  <c r="E32" s="1"/>
  <c r="E63" i="5"/>
  <c r="C47" i="1"/>
  <c r="A14" i="22"/>
  <c r="A13"/>
  <c r="C18" i="1"/>
  <c r="A7" i="22"/>
  <c r="A10" s="1"/>
  <c r="A12" s="1"/>
  <c r="A8"/>
  <c r="C16"/>
  <c r="B21"/>
  <c r="C13"/>
  <c r="C10"/>
  <c r="C9"/>
  <c r="C8"/>
  <c r="B6"/>
  <c r="B3"/>
  <c r="B2"/>
  <c r="B1"/>
  <c r="A6"/>
  <c r="A5"/>
  <c r="A4"/>
  <c r="A3"/>
  <c r="A2"/>
  <c r="A1"/>
  <c r="C102" i="1"/>
  <c r="D20" s="1"/>
  <c r="C66" l="1"/>
  <c r="C60"/>
  <c r="C59"/>
  <c r="C58"/>
  <c r="C29"/>
  <c r="C38"/>
  <c r="C65"/>
  <c r="C79"/>
  <c r="C49"/>
  <c r="C8"/>
  <c r="C17"/>
  <c r="C64"/>
  <c r="C20"/>
  <c r="D20" i="3" s="1"/>
  <c r="C16" i="1" l="1"/>
  <c r="C15"/>
  <c r="C7"/>
  <c r="C19" s="1"/>
  <c r="C106"/>
  <c r="D22" s="1"/>
  <c r="C86"/>
  <c r="T106"/>
  <c r="R96"/>
  <c r="Q3"/>
  <c r="E20"/>
  <c r="E21"/>
  <c r="C21" i="3" s="1"/>
  <c r="E22" i="1"/>
  <c r="E23"/>
  <c r="C23" i="3" s="1"/>
  <c r="D25" i="1" l="1"/>
  <c r="D24"/>
  <c r="C22" i="3"/>
  <c r="C1" i="1"/>
  <c r="E24"/>
  <c r="C24" i="3" s="1"/>
  <c r="C20"/>
  <c r="C110" i="1"/>
  <c r="F86"/>
  <c r="C99"/>
  <c r="R111" i="2"/>
  <c r="P111"/>
  <c r="J111"/>
  <c r="R110"/>
  <c r="P110"/>
  <c r="R109"/>
  <c r="P109"/>
  <c r="R108"/>
  <c r="P108"/>
  <c r="R107"/>
  <c r="P107"/>
  <c r="R106"/>
  <c r="P106"/>
  <c r="R105"/>
  <c r="P105"/>
  <c r="L105"/>
  <c r="J105"/>
  <c r="I105"/>
  <c r="R104"/>
  <c r="P104"/>
  <c r="L104"/>
  <c r="J104"/>
  <c r="I104"/>
  <c r="R103"/>
  <c r="P103"/>
  <c r="L103"/>
  <c r="J103"/>
  <c r="I103"/>
  <c r="R102"/>
  <c r="P102"/>
  <c r="L102"/>
  <c r="J102"/>
  <c r="I102"/>
  <c r="R101"/>
  <c r="P101"/>
  <c r="L101"/>
  <c r="J101"/>
  <c r="I101"/>
  <c r="R100"/>
  <c r="P100"/>
  <c r="L100"/>
  <c r="J100"/>
  <c r="I100"/>
  <c r="R99"/>
  <c r="P99"/>
  <c r="Q99" s="1"/>
  <c r="L99"/>
  <c r="J99"/>
  <c r="I99"/>
  <c r="R98"/>
  <c r="P98"/>
  <c r="L98"/>
  <c r="J98"/>
  <c r="I98"/>
  <c r="R97"/>
  <c r="P97"/>
  <c r="J97"/>
  <c r="R96"/>
  <c r="P96"/>
  <c r="R95"/>
  <c r="P95"/>
  <c r="L95"/>
  <c r="J95"/>
  <c r="I95"/>
  <c r="R94"/>
  <c r="P94"/>
  <c r="L94"/>
  <c r="J94"/>
  <c r="I94"/>
  <c r="R93"/>
  <c r="P93"/>
  <c r="L93"/>
  <c r="J93"/>
  <c r="I93"/>
  <c r="R92"/>
  <c r="J92"/>
  <c r="R91"/>
  <c r="L91"/>
  <c r="J91"/>
  <c r="I91"/>
  <c r="R90"/>
  <c r="L90"/>
  <c r="J90"/>
  <c r="I90"/>
  <c r="R89"/>
  <c r="L89"/>
  <c r="J89"/>
  <c r="I89"/>
  <c r="R88"/>
  <c r="P88"/>
  <c r="L88"/>
  <c r="J88"/>
  <c r="I88"/>
  <c r="R87"/>
  <c r="P87"/>
  <c r="R86"/>
  <c r="P86"/>
  <c r="Q86" s="1"/>
  <c r="R85"/>
  <c r="P85"/>
  <c r="L85"/>
  <c r="J85"/>
  <c r="I85"/>
  <c r="R84"/>
  <c r="P84"/>
  <c r="L84"/>
  <c r="J84"/>
  <c r="I84"/>
  <c r="R83"/>
  <c r="P83"/>
  <c r="L83"/>
  <c r="J83"/>
  <c r="I83"/>
  <c r="R82"/>
  <c r="P82"/>
  <c r="L82"/>
  <c r="J82"/>
  <c r="I82"/>
  <c r="R81"/>
  <c r="P81"/>
  <c r="L81"/>
  <c r="J81"/>
  <c r="I81"/>
  <c r="R80"/>
  <c r="P80"/>
  <c r="L80"/>
  <c r="J80"/>
  <c r="I80"/>
  <c r="R79"/>
  <c r="P79"/>
  <c r="R78"/>
  <c r="P78"/>
  <c r="R77"/>
  <c r="P77"/>
  <c r="L77"/>
  <c r="J77"/>
  <c r="I77"/>
  <c r="R76"/>
  <c r="P76"/>
  <c r="L76"/>
  <c r="J76"/>
  <c r="K76" s="1"/>
  <c r="I76"/>
  <c r="R75"/>
  <c r="P75"/>
  <c r="L75"/>
  <c r="J75"/>
  <c r="I75"/>
  <c r="R74"/>
  <c r="P74"/>
  <c r="L74"/>
  <c r="J74"/>
  <c r="I74"/>
  <c r="R73"/>
  <c r="P73"/>
  <c r="L73"/>
  <c r="J73"/>
  <c r="I73"/>
  <c r="R72"/>
  <c r="P72"/>
  <c r="L72"/>
  <c r="J72"/>
  <c r="I72"/>
  <c r="R71"/>
  <c r="P71"/>
  <c r="L71"/>
  <c r="J71"/>
  <c r="I71"/>
  <c r="R70"/>
  <c r="P70"/>
  <c r="L70"/>
  <c r="J70"/>
  <c r="I70"/>
  <c r="R69"/>
  <c r="P69"/>
  <c r="L69"/>
  <c r="J69"/>
  <c r="I69"/>
  <c r="R68"/>
  <c r="P68"/>
  <c r="L68"/>
  <c r="J68"/>
  <c r="I68"/>
  <c r="R67"/>
  <c r="P67"/>
  <c r="L67"/>
  <c r="J67"/>
  <c r="I67"/>
  <c r="R66"/>
  <c r="P66"/>
  <c r="L66"/>
  <c r="J66"/>
  <c r="I66"/>
  <c r="R65"/>
  <c r="P65"/>
  <c r="L65"/>
  <c r="J65"/>
  <c r="K65" s="1"/>
  <c r="I65"/>
  <c r="R64"/>
  <c r="P64"/>
  <c r="L64"/>
  <c r="J64"/>
  <c r="I64"/>
  <c r="R63"/>
  <c r="P63"/>
  <c r="L63"/>
  <c r="J63"/>
  <c r="I63"/>
  <c r="R62"/>
  <c r="P62"/>
  <c r="L62"/>
  <c r="J62"/>
  <c r="I62"/>
  <c r="R61"/>
  <c r="P61"/>
  <c r="R60"/>
  <c r="P60"/>
  <c r="L60"/>
  <c r="J60"/>
  <c r="I60"/>
  <c r="R59"/>
  <c r="P59"/>
  <c r="L59"/>
  <c r="J59"/>
  <c r="I59"/>
  <c r="R58"/>
  <c r="P58"/>
  <c r="L58"/>
  <c r="J58"/>
  <c r="I58"/>
  <c r="R57"/>
  <c r="P57"/>
  <c r="L57"/>
  <c r="J57"/>
  <c r="I57"/>
  <c r="R56"/>
  <c r="P56"/>
  <c r="R55"/>
  <c r="P55"/>
  <c r="L55"/>
  <c r="J55"/>
  <c r="I55"/>
  <c r="R54"/>
  <c r="P54"/>
  <c r="L54"/>
  <c r="J54"/>
  <c r="I54"/>
  <c r="R53"/>
  <c r="P53"/>
  <c r="L53"/>
  <c r="J53"/>
  <c r="I53"/>
  <c r="R52"/>
  <c r="P52"/>
  <c r="L52"/>
  <c r="J52"/>
  <c r="I52"/>
  <c r="R51"/>
  <c r="P51"/>
  <c r="L51"/>
  <c r="J51"/>
  <c r="K51" s="1"/>
  <c r="I51"/>
  <c r="R50"/>
  <c r="P50"/>
  <c r="L50"/>
  <c r="J50"/>
  <c r="I50"/>
  <c r="R49"/>
  <c r="P49"/>
  <c r="Q49" s="1"/>
  <c r="L49"/>
  <c r="J49"/>
  <c r="I49"/>
  <c r="R48"/>
  <c r="P48"/>
  <c r="L48"/>
  <c r="J48"/>
  <c r="I48"/>
  <c r="R47"/>
  <c r="P47"/>
  <c r="L47"/>
  <c r="J47"/>
  <c r="I47"/>
  <c r="R46"/>
  <c r="P46"/>
  <c r="L46"/>
  <c r="J46"/>
  <c r="I46"/>
  <c r="R45"/>
  <c r="P45"/>
  <c r="Q45" s="1"/>
  <c r="L45"/>
  <c r="J45"/>
  <c r="I45"/>
  <c r="R44"/>
  <c r="P44"/>
  <c r="L44"/>
  <c r="J44"/>
  <c r="I44"/>
  <c r="R43"/>
  <c r="P43"/>
  <c r="Q43" s="1"/>
  <c r="L43"/>
  <c r="J43"/>
  <c r="I43"/>
  <c r="R42"/>
  <c r="P42"/>
  <c r="L42"/>
  <c r="J42"/>
  <c r="I42"/>
  <c r="R41"/>
  <c r="P41"/>
  <c r="Q41" s="1"/>
  <c r="L41"/>
  <c r="J41"/>
  <c r="I41"/>
  <c r="R40"/>
  <c r="P40"/>
  <c r="L40"/>
  <c r="J40"/>
  <c r="I40"/>
  <c r="R39"/>
  <c r="P39"/>
  <c r="L39"/>
  <c r="J39"/>
  <c r="I39"/>
  <c r="R38"/>
  <c r="P38"/>
  <c r="L38"/>
  <c r="J38"/>
  <c r="I38"/>
  <c r="R37"/>
  <c r="P37"/>
  <c r="Q37" s="1"/>
  <c r="L37"/>
  <c r="J37"/>
  <c r="I37"/>
  <c r="R36"/>
  <c r="P36"/>
  <c r="L36"/>
  <c r="J36"/>
  <c r="I36"/>
  <c r="R35"/>
  <c r="P35"/>
  <c r="Q35" s="1"/>
  <c r="L35"/>
  <c r="J35"/>
  <c r="I35"/>
  <c r="R34"/>
  <c r="P34"/>
  <c r="L34"/>
  <c r="J34"/>
  <c r="I34"/>
  <c r="R33"/>
  <c r="P33"/>
  <c r="Q33" s="1"/>
  <c r="L33"/>
  <c r="J33"/>
  <c r="I33"/>
  <c r="R32"/>
  <c r="P32"/>
  <c r="L32"/>
  <c r="J32"/>
  <c r="I32"/>
  <c r="R31"/>
  <c r="P31"/>
  <c r="Q31" s="1"/>
  <c r="L31"/>
  <c r="J31"/>
  <c r="I31"/>
  <c r="R30"/>
  <c r="P30"/>
  <c r="L30"/>
  <c r="J30"/>
  <c r="I30"/>
  <c r="R29"/>
  <c r="P29"/>
  <c r="Q29" s="1"/>
  <c r="L29"/>
  <c r="J29"/>
  <c r="I29"/>
  <c r="R28"/>
  <c r="P28"/>
  <c r="L28"/>
  <c r="J28"/>
  <c r="I28"/>
  <c r="R27"/>
  <c r="P27"/>
  <c r="R26"/>
  <c r="P26"/>
  <c r="R25"/>
  <c r="P25"/>
  <c r="R24"/>
  <c r="P24"/>
  <c r="Q24" s="1"/>
  <c r="J24"/>
  <c r="R23"/>
  <c r="P23"/>
  <c r="J23"/>
  <c r="R22"/>
  <c r="P22"/>
  <c r="J22"/>
  <c r="R21"/>
  <c r="P21"/>
  <c r="J21"/>
  <c r="R20"/>
  <c r="P20"/>
  <c r="Q20" s="1"/>
  <c r="J20"/>
  <c r="K20" s="1"/>
  <c r="R19"/>
  <c r="P19"/>
  <c r="R18"/>
  <c r="P18"/>
  <c r="L18"/>
  <c r="J18"/>
  <c r="I18"/>
  <c r="R17"/>
  <c r="P17"/>
  <c r="L17"/>
  <c r="J17"/>
  <c r="K17" s="1"/>
  <c r="I17"/>
  <c r="R16"/>
  <c r="P16"/>
  <c r="L16"/>
  <c r="J16"/>
  <c r="I16"/>
  <c r="R15"/>
  <c r="P15"/>
  <c r="L15"/>
  <c r="J15"/>
  <c r="I15"/>
  <c r="R14"/>
  <c r="P14"/>
  <c r="L14"/>
  <c r="J14"/>
  <c r="I14"/>
  <c r="R13"/>
  <c r="P13"/>
  <c r="L13"/>
  <c r="J13"/>
  <c r="K13" s="1"/>
  <c r="I13"/>
  <c r="R12"/>
  <c r="P12"/>
  <c r="L12"/>
  <c r="J12"/>
  <c r="I12"/>
  <c r="R11"/>
  <c r="P11"/>
  <c r="L11"/>
  <c r="J11"/>
  <c r="K11" s="1"/>
  <c r="I11"/>
  <c r="R10"/>
  <c r="P10"/>
  <c r="L10"/>
  <c r="J10"/>
  <c r="I10"/>
  <c r="R9"/>
  <c r="P9"/>
  <c r="L9"/>
  <c r="J9"/>
  <c r="I9"/>
  <c r="R8"/>
  <c r="P8"/>
  <c r="L8"/>
  <c r="J8"/>
  <c r="I8"/>
  <c r="R7"/>
  <c r="P7"/>
  <c r="L7"/>
  <c r="J7"/>
  <c r="I7"/>
  <c r="B7"/>
  <c r="B8"/>
  <c r="B9"/>
  <c r="B10"/>
  <c r="B11"/>
  <c r="B12"/>
  <c r="B13"/>
  <c r="B14"/>
  <c r="B15"/>
  <c r="B16"/>
  <c r="B17"/>
  <c r="B18"/>
  <c r="B19"/>
  <c r="B20"/>
  <c r="B21"/>
  <c r="B22"/>
  <c r="B23"/>
  <c r="B24"/>
  <c r="B25"/>
  <c r="B26"/>
  <c r="B27"/>
  <c r="B28"/>
  <c r="B29"/>
  <c r="B30"/>
  <c r="B31"/>
  <c r="V107" i="1"/>
  <c r="V106"/>
  <c r="V105"/>
  <c r="V104"/>
  <c r="V103"/>
  <c r="V102"/>
  <c r="V101"/>
  <c r="V100"/>
  <c r="U55"/>
  <c r="T55"/>
  <c r="S55"/>
  <c r="R55"/>
  <c r="V55" s="1"/>
  <c r="Q110"/>
  <c r="L108" i="2" s="1"/>
  <c r="Q99" i="1"/>
  <c r="L97" i="2" s="1"/>
  <c r="Q94" i="1"/>
  <c r="L92" i="2" s="1"/>
  <c r="Q89" i="1"/>
  <c r="L87" i="2" s="1"/>
  <c r="Q81" i="1"/>
  <c r="L79" i="2" s="1"/>
  <c r="L61"/>
  <c r="Q57" i="1"/>
  <c r="L56" i="2" s="1"/>
  <c r="Q27" i="1"/>
  <c r="L27" i="2" s="1"/>
  <c r="Q23" i="1"/>
  <c r="L23" i="2" s="1"/>
  <c r="Q22" i="1"/>
  <c r="L22" i="2" s="1"/>
  <c r="Q21" i="1"/>
  <c r="L21" i="2" s="1"/>
  <c r="Q20" i="1"/>
  <c r="Q19"/>
  <c r="K101" i="2" l="1"/>
  <c r="K105"/>
  <c r="Q63"/>
  <c r="V99" i="1"/>
  <c r="K21" i="2"/>
  <c r="K40"/>
  <c r="Q74"/>
  <c r="Q78"/>
  <c r="K83"/>
  <c r="Q101"/>
  <c r="Q105"/>
  <c r="Q57"/>
  <c r="Q67"/>
  <c r="K70"/>
  <c r="Q71"/>
  <c r="Q83"/>
  <c r="Q53"/>
  <c r="K89"/>
  <c r="K23"/>
  <c r="Q9"/>
  <c r="Q13"/>
  <c r="Q17"/>
  <c r="K29"/>
  <c r="Q30"/>
  <c r="K33"/>
  <c r="Q34"/>
  <c r="K37"/>
  <c r="K41"/>
  <c r="K45"/>
  <c r="K49"/>
  <c r="K67"/>
  <c r="K71"/>
  <c r="K93"/>
  <c r="K99"/>
  <c r="Q103"/>
  <c r="Q65"/>
  <c r="Q24" i="1"/>
  <c r="L24" i="2" s="1"/>
  <c r="K84"/>
  <c r="K53"/>
  <c r="K85"/>
  <c r="Q102"/>
  <c r="Q16"/>
  <c r="Q12"/>
  <c r="K8"/>
  <c r="Q88"/>
  <c r="K82"/>
  <c r="Q85"/>
  <c r="K73"/>
  <c r="K77"/>
  <c r="Q73"/>
  <c r="Q77"/>
  <c r="K57"/>
  <c r="Q36"/>
  <c r="C159"/>
  <c r="Q25" i="1"/>
  <c r="Q109" s="1"/>
  <c r="L107" i="2" s="1"/>
  <c r="L20"/>
  <c r="L19"/>
  <c r="Q11"/>
  <c r="K28"/>
  <c r="Q48"/>
  <c r="Q60"/>
  <c r="Q64"/>
  <c r="Q68"/>
  <c r="K92"/>
  <c r="Q100"/>
  <c r="K104"/>
  <c r="K7"/>
  <c r="Q23"/>
  <c r="K36"/>
  <c r="Q44"/>
  <c r="K52"/>
  <c r="Q72"/>
  <c r="Q84"/>
  <c r="K88"/>
  <c r="K15"/>
  <c r="Q28"/>
  <c r="Q32"/>
  <c r="K48"/>
  <c r="K60"/>
  <c r="K68"/>
  <c r="K80"/>
  <c r="K100"/>
  <c r="Q104"/>
  <c r="Q47"/>
  <c r="Q55"/>
  <c r="Q75"/>
  <c r="Q95"/>
  <c r="K22"/>
  <c r="K35"/>
  <c r="Q39"/>
  <c r="Q51"/>
  <c r="Q59"/>
  <c r="Q69"/>
  <c r="Q81"/>
  <c r="Q97"/>
  <c r="Q8"/>
  <c r="K12"/>
  <c r="K16"/>
  <c r="K24"/>
  <c r="K32"/>
  <c r="Q40"/>
  <c r="K44"/>
  <c r="Q52"/>
  <c r="K64"/>
  <c r="K72"/>
  <c r="Q76"/>
  <c r="Q80"/>
  <c r="Q21"/>
  <c r="K34"/>
  <c r="Q38"/>
  <c r="Q42"/>
  <c r="Q46"/>
  <c r="Q50"/>
  <c r="K74"/>
  <c r="K90"/>
  <c r="K94"/>
  <c r="K102"/>
  <c r="Q7"/>
  <c r="K9"/>
  <c r="K14"/>
  <c r="Q15"/>
  <c r="K18"/>
  <c r="K38"/>
  <c r="K42"/>
  <c r="K46"/>
  <c r="K50"/>
  <c r="Q54"/>
  <c r="Q58"/>
  <c r="Q62"/>
  <c r="Q66"/>
  <c r="K69"/>
  <c r="K81"/>
  <c r="K97"/>
  <c r="Q10"/>
  <c r="Q14"/>
  <c r="Q18"/>
  <c r="K30"/>
  <c r="K10"/>
  <c r="Q22"/>
  <c r="Q26"/>
  <c r="K54"/>
  <c r="K58"/>
  <c r="K62"/>
  <c r="K66"/>
  <c r="Q70"/>
  <c r="Q82"/>
  <c r="Q106"/>
  <c r="K47"/>
  <c r="K43"/>
  <c r="K59"/>
  <c r="K75"/>
  <c r="K91"/>
  <c r="K31"/>
  <c r="K63"/>
  <c r="K95"/>
  <c r="K39"/>
  <c r="K55"/>
  <c r="K103"/>
  <c r="Q98" i="1"/>
  <c r="L25" i="2" l="1"/>
  <c r="Q111" i="1"/>
  <c r="L96" i="2"/>
  <c r="Q3" i="21"/>
  <c r="Q112" i="1" l="1"/>
  <c r="L110" i="2" s="1"/>
  <c r="L109"/>
  <c r="A121" i="21"/>
  <c r="P46"/>
  <c r="A119"/>
  <c r="A118"/>
  <c r="A117"/>
  <c r="A116"/>
  <c r="P34" l="1"/>
  <c r="A1" l="1"/>
  <c r="A4"/>
  <c r="A5" s="1"/>
  <c r="A2"/>
  <c r="P57"/>
  <c r="P97"/>
  <c r="P108"/>
  <c r="P100"/>
  <c r="P62"/>
  <c r="P37"/>
  <c r="P64"/>
  <c r="P58"/>
  <c r="P29"/>
  <c r="Q85"/>
  <c r="M85"/>
  <c r="I85"/>
  <c r="E85"/>
  <c r="U85" s="1"/>
  <c r="P69"/>
  <c r="P68"/>
  <c r="P63"/>
  <c r="P28"/>
  <c r="T13"/>
  <c r="S13"/>
  <c r="R13"/>
  <c r="Q13"/>
  <c r="U13" s="1"/>
  <c r="P18"/>
  <c r="P9"/>
  <c r="P17"/>
  <c r="P16"/>
  <c r="P15"/>
  <c r="P8"/>
  <c r="P7"/>
  <c r="R85" l="1"/>
  <c r="S85"/>
  <c r="T85"/>
  <c r="R102" i="1"/>
  <c r="R87" l="1"/>
  <c r="N87"/>
  <c r="J87"/>
  <c r="F87"/>
  <c r="R13"/>
  <c r="V13" s="1"/>
  <c r="U13"/>
  <c r="T13"/>
  <c r="S13"/>
  <c r="V87" l="1"/>
  <c r="C142" i="2"/>
  <c r="S87" i="1"/>
  <c r="T87"/>
  <c r="U87"/>
  <c r="R77" l="1"/>
  <c r="R3"/>
  <c r="R2"/>
  <c r="R1"/>
  <c r="Q2"/>
  <c r="Q1"/>
  <c r="A3" i="21" l="1"/>
  <c r="Q94"/>
  <c r="Q113" i="1" l="1"/>
  <c r="L111" i="2" s="1"/>
  <c r="N2" i="21"/>
  <c r="Q1"/>
  <c r="O3"/>
  <c r="R2"/>
  <c r="O4"/>
  <c r="O2"/>
  <c r="Q2"/>
  <c r="AA38" l="1"/>
  <c r="AA39"/>
  <c r="X38"/>
  <c r="X33" l="1"/>
  <c r="X28" l="1"/>
  <c r="X37"/>
  <c r="X36"/>
  <c r="Y6"/>
  <c r="X32"/>
  <c r="X31"/>
  <c r="X27"/>
  <c r="Y26"/>
  <c r="Y25"/>
  <c r="Y27" l="1"/>
  <c r="Y28" s="1"/>
  <c r="Y29" s="1"/>
  <c r="Y30" s="1"/>
  <c r="Y31" s="1"/>
  <c r="Y32" s="1"/>
  <c r="Y33" s="1"/>
  <c r="Y34" s="1"/>
  <c r="Y35" s="1"/>
  <c r="Y36" s="1"/>
  <c r="Y37" s="1"/>
  <c r="Y38" s="1"/>
  <c r="Y39" s="1"/>
  <c r="Y40" s="1"/>
  <c r="O108"/>
  <c r="O101"/>
  <c r="O97" s="1"/>
  <c r="O92"/>
  <c r="O87"/>
  <c r="O80"/>
  <c r="O79"/>
  <c r="O72"/>
  <c r="O69"/>
  <c r="O68"/>
  <c r="O64"/>
  <c r="O63"/>
  <c r="O62"/>
  <c r="O61" s="1"/>
  <c r="O59"/>
  <c r="O58"/>
  <c r="O57"/>
  <c r="O56" s="1"/>
  <c r="O46"/>
  <c r="O27" s="1"/>
  <c r="O40"/>
  <c r="O23"/>
  <c r="O22"/>
  <c r="O21"/>
  <c r="O20"/>
  <c r="O24" s="1"/>
  <c r="O18"/>
  <c r="O17"/>
  <c r="O16"/>
  <c r="O15"/>
  <c r="O9"/>
  <c r="O8"/>
  <c r="O7"/>
  <c r="O19" s="1"/>
  <c r="O25" s="1"/>
  <c r="O107" s="1"/>
  <c r="O96" l="1"/>
  <c r="O109" s="1"/>
  <c r="O110" s="1"/>
  <c r="O111" s="1"/>
  <c r="A134" i="17" l="1"/>
  <c r="D133"/>
  <c r="D132"/>
  <c r="D131"/>
  <c r="D130"/>
  <c r="D129"/>
  <c r="A129"/>
  <c r="D128"/>
  <c r="D127"/>
  <c r="D126"/>
  <c r="Q122"/>
  <c r="O122"/>
  <c r="B121"/>
  <c r="Q120"/>
  <c r="B120"/>
  <c r="Q119"/>
  <c r="O119"/>
  <c r="Q118"/>
  <c r="L118"/>
  <c r="Q117"/>
  <c r="O117"/>
  <c r="L117"/>
  <c r="P114"/>
  <c r="P113"/>
  <c r="U110"/>
  <c r="T110"/>
  <c r="S110"/>
  <c r="R110"/>
  <c r="Q110"/>
  <c r="P110"/>
  <c r="O110"/>
  <c r="N110"/>
  <c r="M110"/>
  <c r="L110"/>
  <c r="K110"/>
  <c r="J110"/>
  <c r="I110"/>
  <c r="H110"/>
  <c r="G110"/>
  <c r="F110"/>
  <c r="E110"/>
  <c r="D110"/>
  <c r="C110"/>
  <c r="B110"/>
  <c r="V109"/>
  <c r="U109"/>
  <c r="T109"/>
  <c r="S109"/>
  <c r="R109"/>
  <c r="Q109"/>
  <c r="P109"/>
  <c r="O109"/>
  <c r="N109"/>
  <c r="M109"/>
  <c r="L109"/>
  <c r="K109"/>
  <c r="J109"/>
  <c r="I109"/>
  <c r="H109"/>
  <c r="G109"/>
  <c r="F109"/>
  <c r="E109"/>
  <c r="D109"/>
  <c r="C109"/>
  <c r="B109"/>
  <c r="V108"/>
  <c r="U108"/>
  <c r="T108"/>
  <c r="S108"/>
  <c r="R108"/>
  <c r="Q108"/>
  <c r="P108"/>
  <c r="O108"/>
  <c r="N108"/>
  <c r="M108"/>
  <c r="L108"/>
  <c r="K108"/>
  <c r="J108"/>
  <c r="I108"/>
  <c r="H108"/>
  <c r="G108"/>
  <c r="F108"/>
  <c r="E108"/>
  <c r="D108"/>
  <c r="C108"/>
  <c r="B108"/>
  <c r="V107"/>
  <c r="U107"/>
  <c r="T107"/>
  <c r="S107"/>
  <c r="R107"/>
  <c r="Q107"/>
  <c r="P107"/>
  <c r="O107"/>
  <c r="N107"/>
  <c r="M107"/>
  <c r="L107"/>
  <c r="K107"/>
  <c r="J107"/>
  <c r="I107"/>
  <c r="H107"/>
  <c r="G107"/>
  <c r="F107"/>
  <c r="E107"/>
  <c r="D107"/>
  <c r="C107"/>
  <c r="B107"/>
  <c r="V106"/>
  <c r="U106"/>
  <c r="T106"/>
  <c r="S106"/>
  <c r="R106"/>
  <c r="Q106"/>
  <c r="M106"/>
  <c r="L106"/>
  <c r="K106"/>
  <c r="J106"/>
  <c r="I106"/>
  <c r="H106"/>
  <c r="G106"/>
  <c r="F106"/>
  <c r="E106"/>
  <c r="D106"/>
  <c r="C106"/>
  <c r="B106"/>
  <c r="U104"/>
  <c r="T104"/>
  <c r="S104"/>
  <c r="R104"/>
  <c r="Q104"/>
  <c r="M104"/>
  <c r="I104"/>
  <c r="E104"/>
  <c r="U103"/>
  <c r="T103"/>
  <c r="S103"/>
  <c r="R103"/>
  <c r="Q103"/>
  <c r="M103"/>
  <c r="I103"/>
  <c r="E103"/>
  <c r="U102"/>
  <c r="T102"/>
  <c r="S102"/>
  <c r="R102"/>
  <c r="Q102"/>
  <c r="M102"/>
  <c r="I102"/>
  <c r="E102"/>
  <c r="U101"/>
  <c r="T101"/>
  <c r="S101"/>
  <c r="R101"/>
  <c r="Q101"/>
  <c r="M101"/>
  <c r="I101"/>
  <c r="E101"/>
  <c r="U100"/>
  <c r="T100"/>
  <c r="S100"/>
  <c r="R100"/>
  <c r="Q100"/>
  <c r="M100"/>
  <c r="I100"/>
  <c r="E100"/>
  <c r="B100"/>
  <c r="U99"/>
  <c r="T99"/>
  <c r="S99"/>
  <c r="R99"/>
  <c r="Q99"/>
  <c r="M99"/>
  <c r="I99"/>
  <c r="E99"/>
  <c r="U98"/>
  <c r="T98"/>
  <c r="S98"/>
  <c r="R98"/>
  <c r="Q98"/>
  <c r="M98"/>
  <c r="I98"/>
  <c r="E98"/>
  <c r="U97"/>
  <c r="T97"/>
  <c r="S97"/>
  <c r="R97"/>
  <c r="Q97"/>
  <c r="M97"/>
  <c r="I97"/>
  <c r="E97"/>
  <c r="U96"/>
  <c r="T96"/>
  <c r="S96"/>
  <c r="R96"/>
  <c r="Q96"/>
  <c r="P96"/>
  <c r="O96"/>
  <c r="N96"/>
  <c r="M96"/>
  <c r="L96"/>
  <c r="K96"/>
  <c r="J96"/>
  <c r="I96"/>
  <c r="H96"/>
  <c r="G96"/>
  <c r="F96"/>
  <c r="E96"/>
  <c r="D96"/>
  <c r="C96"/>
  <c r="B96"/>
  <c r="V95"/>
  <c r="U95"/>
  <c r="T95"/>
  <c r="S95"/>
  <c r="R95"/>
  <c r="Q95"/>
  <c r="P95"/>
  <c r="O95"/>
  <c r="N95"/>
  <c r="M95"/>
  <c r="L95"/>
  <c r="K95"/>
  <c r="J95"/>
  <c r="I95"/>
  <c r="H95"/>
  <c r="G95"/>
  <c r="F95"/>
  <c r="E95"/>
  <c r="D95"/>
  <c r="C95"/>
  <c r="B95"/>
  <c r="Q93"/>
  <c r="M93"/>
  <c r="I93"/>
  <c r="E93"/>
  <c r="Q92"/>
  <c r="M92"/>
  <c r="E92"/>
  <c r="V91"/>
  <c r="Q91"/>
  <c r="P91"/>
  <c r="O91"/>
  <c r="N91"/>
  <c r="M91"/>
  <c r="L91"/>
  <c r="K91"/>
  <c r="J91"/>
  <c r="I91"/>
  <c r="H91"/>
  <c r="G91"/>
  <c r="F91"/>
  <c r="E91"/>
  <c r="D91"/>
  <c r="C91"/>
  <c r="B91"/>
  <c r="U89"/>
  <c r="T89"/>
  <c r="S89"/>
  <c r="R89"/>
  <c r="Q89"/>
  <c r="M89"/>
  <c r="I89"/>
  <c r="E89"/>
  <c r="Y88"/>
  <c r="U88"/>
  <c r="T88"/>
  <c r="S88"/>
  <c r="R88"/>
  <c r="Q88"/>
  <c r="M88"/>
  <c r="I88"/>
  <c r="E88"/>
  <c r="Y87"/>
  <c r="U87"/>
  <c r="T87"/>
  <c r="S87"/>
  <c r="R87"/>
  <c r="Q87"/>
  <c r="M87"/>
  <c r="I87"/>
  <c r="E87"/>
  <c r="V86"/>
  <c r="U86"/>
  <c r="T86"/>
  <c r="S86"/>
  <c r="R86"/>
  <c r="Q86"/>
  <c r="M86"/>
  <c r="L86"/>
  <c r="K86"/>
  <c r="J86"/>
  <c r="I86"/>
  <c r="H86"/>
  <c r="G86"/>
  <c r="F86"/>
  <c r="E86"/>
  <c r="D86"/>
  <c r="C86"/>
  <c r="B86"/>
  <c r="U84"/>
  <c r="T84"/>
  <c r="S84"/>
  <c r="R84"/>
  <c r="Q84"/>
  <c r="M84"/>
  <c r="I84"/>
  <c r="E84"/>
  <c r="U83"/>
  <c r="T83"/>
  <c r="S83"/>
  <c r="R83"/>
  <c r="Q83"/>
  <c r="M83"/>
  <c r="I83"/>
  <c r="E83"/>
  <c r="U82"/>
  <c r="T82"/>
  <c r="S82"/>
  <c r="R82"/>
  <c r="Q82"/>
  <c r="M82"/>
  <c r="I82"/>
  <c r="E82"/>
  <c r="U81"/>
  <c r="T81"/>
  <c r="S81"/>
  <c r="R81"/>
  <c r="Q81"/>
  <c r="M81"/>
  <c r="I81"/>
  <c r="E81"/>
  <c r="U80"/>
  <c r="T80"/>
  <c r="S80"/>
  <c r="R80"/>
  <c r="Q80"/>
  <c r="M80"/>
  <c r="I80"/>
  <c r="E80"/>
  <c r="U79"/>
  <c r="T79"/>
  <c r="S79"/>
  <c r="R79"/>
  <c r="Q79"/>
  <c r="M79"/>
  <c r="I79"/>
  <c r="E79"/>
  <c r="B79"/>
  <c r="V78"/>
  <c r="U78"/>
  <c r="T78"/>
  <c r="S78"/>
  <c r="R78"/>
  <c r="Q78"/>
  <c r="P78"/>
  <c r="O78"/>
  <c r="N78"/>
  <c r="M78"/>
  <c r="L78"/>
  <c r="K78"/>
  <c r="J78"/>
  <c r="I78"/>
  <c r="H78"/>
  <c r="G78"/>
  <c r="F78"/>
  <c r="E78"/>
  <c r="D78"/>
  <c r="C78"/>
  <c r="B78"/>
  <c r="U77"/>
  <c r="T77"/>
  <c r="S77"/>
  <c r="R77"/>
  <c r="Q77"/>
  <c r="M77"/>
  <c r="I77"/>
  <c r="E77"/>
  <c r="U76"/>
  <c r="T76"/>
  <c r="S76"/>
  <c r="R76"/>
  <c r="Q76"/>
  <c r="M76"/>
  <c r="I76"/>
  <c r="E76"/>
  <c r="U75"/>
  <c r="T75"/>
  <c r="S75"/>
  <c r="R75"/>
  <c r="Q75"/>
  <c r="M75"/>
  <c r="I75"/>
  <c r="E75"/>
  <c r="U74"/>
  <c r="T74"/>
  <c r="S74"/>
  <c r="R74"/>
  <c r="Q74"/>
  <c r="M74"/>
  <c r="I74"/>
  <c r="E74"/>
  <c r="U73"/>
  <c r="T73"/>
  <c r="S73"/>
  <c r="R73"/>
  <c r="Q73"/>
  <c r="M73"/>
  <c r="I73"/>
  <c r="E73"/>
  <c r="U72"/>
  <c r="T72"/>
  <c r="S72"/>
  <c r="R72"/>
  <c r="Q72"/>
  <c r="M72"/>
  <c r="I72"/>
  <c r="E72"/>
  <c r="U71"/>
  <c r="T71"/>
  <c r="S71"/>
  <c r="R71"/>
  <c r="Q71"/>
  <c r="M71"/>
  <c r="I71"/>
  <c r="E71"/>
  <c r="U70"/>
  <c r="T70"/>
  <c r="S70"/>
  <c r="R70"/>
  <c r="Q70"/>
  <c r="M70"/>
  <c r="I70"/>
  <c r="E70"/>
  <c r="U69"/>
  <c r="T69"/>
  <c r="S69"/>
  <c r="R69"/>
  <c r="Q69"/>
  <c r="M69"/>
  <c r="I69"/>
  <c r="E69"/>
  <c r="V68"/>
  <c r="U68"/>
  <c r="T68"/>
  <c r="S68"/>
  <c r="R68"/>
  <c r="Q68"/>
  <c r="M68"/>
  <c r="I68"/>
  <c r="E68"/>
  <c r="B68"/>
  <c r="V67"/>
  <c r="U67"/>
  <c r="T67"/>
  <c r="S67"/>
  <c r="R67"/>
  <c r="Q67"/>
  <c r="M67"/>
  <c r="I67"/>
  <c r="E67"/>
  <c r="B67"/>
  <c r="U66"/>
  <c r="T66"/>
  <c r="S66"/>
  <c r="R66"/>
  <c r="Q66"/>
  <c r="M66"/>
  <c r="I66"/>
  <c r="E66"/>
  <c r="U65"/>
  <c r="T65"/>
  <c r="S65"/>
  <c r="R65"/>
  <c r="Q65"/>
  <c r="M65"/>
  <c r="I65"/>
  <c r="E65"/>
  <c r="U64"/>
  <c r="T64"/>
  <c r="S64"/>
  <c r="R64"/>
  <c r="Q64"/>
  <c r="M64"/>
  <c r="I64"/>
  <c r="E64"/>
  <c r="U63"/>
  <c r="T63"/>
  <c r="S63"/>
  <c r="R63"/>
  <c r="Q63"/>
  <c r="M63"/>
  <c r="I63"/>
  <c r="E63"/>
  <c r="B63"/>
  <c r="U62"/>
  <c r="T62"/>
  <c r="S62"/>
  <c r="R62"/>
  <c r="Q62"/>
  <c r="M62"/>
  <c r="I62"/>
  <c r="E62"/>
  <c r="U61"/>
  <c r="T61"/>
  <c r="S61"/>
  <c r="R61"/>
  <c r="Q61"/>
  <c r="M61"/>
  <c r="I61"/>
  <c r="E61"/>
  <c r="B61"/>
  <c r="V60"/>
  <c r="U60"/>
  <c r="T60"/>
  <c r="S60"/>
  <c r="R60"/>
  <c r="Q60"/>
  <c r="P60"/>
  <c r="O60"/>
  <c r="N60"/>
  <c r="M60"/>
  <c r="L60"/>
  <c r="K60"/>
  <c r="J60"/>
  <c r="I60"/>
  <c r="H60"/>
  <c r="G60"/>
  <c r="F60"/>
  <c r="E60"/>
  <c r="D60"/>
  <c r="C60"/>
  <c r="B60"/>
  <c r="U58"/>
  <c r="T58"/>
  <c r="S58"/>
  <c r="R58"/>
  <c r="Q58"/>
  <c r="M58"/>
  <c r="I58"/>
  <c r="E58"/>
  <c r="B58"/>
  <c r="V57"/>
  <c r="U57"/>
  <c r="T57"/>
  <c r="S57"/>
  <c r="R57"/>
  <c r="Q57"/>
  <c r="M57"/>
  <c r="I57"/>
  <c r="E57"/>
  <c r="B57"/>
  <c r="U56"/>
  <c r="T56"/>
  <c r="S56"/>
  <c r="R56"/>
  <c r="Q56"/>
  <c r="M56"/>
  <c r="I56"/>
  <c r="E56"/>
  <c r="V55"/>
  <c r="U55"/>
  <c r="T55"/>
  <c r="S55"/>
  <c r="R55"/>
  <c r="Q55"/>
  <c r="P55"/>
  <c r="O55"/>
  <c r="N55"/>
  <c r="M55"/>
  <c r="L55"/>
  <c r="K55"/>
  <c r="J55"/>
  <c r="I55"/>
  <c r="H55"/>
  <c r="G55"/>
  <c r="F55"/>
  <c r="E55"/>
  <c r="D55"/>
  <c r="C55"/>
  <c r="B55"/>
  <c r="U51"/>
  <c r="T51"/>
  <c r="S51"/>
  <c r="R51"/>
  <c r="Q51"/>
  <c r="M51"/>
  <c r="I51"/>
  <c r="E51"/>
  <c r="U50"/>
  <c r="T50"/>
  <c r="S50"/>
  <c r="R50"/>
  <c r="Q50"/>
  <c r="M50"/>
  <c r="I50"/>
  <c r="E50"/>
  <c r="U49"/>
  <c r="T49"/>
  <c r="S49"/>
  <c r="R49"/>
  <c r="Q49"/>
  <c r="M49"/>
  <c r="I49"/>
  <c r="E49"/>
  <c r="U48"/>
  <c r="T48"/>
  <c r="S48"/>
  <c r="R48"/>
  <c r="Q48"/>
  <c r="M48"/>
  <c r="I48"/>
  <c r="E48"/>
  <c r="U47"/>
  <c r="T47"/>
  <c r="S47"/>
  <c r="R47"/>
  <c r="Q47"/>
  <c r="M47"/>
  <c r="I47"/>
  <c r="E47"/>
  <c r="U46"/>
  <c r="T46"/>
  <c r="S46"/>
  <c r="R46"/>
  <c r="Q46"/>
  <c r="M46"/>
  <c r="I46"/>
  <c r="E46"/>
  <c r="U45"/>
  <c r="T45"/>
  <c r="S45"/>
  <c r="R45"/>
  <c r="Q45"/>
  <c r="M45"/>
  <c r="I45"/>
  <c r="E45"/>
  <c r="U44"/>
  <c r="T44"/>
  <c r="S44"/>
  <c r="R44"/>
  <c r="Q44"/>
  <c r="M44"/>
  <c r="I44"/>
  <c r="E44"/>
  <c r="V43"/>
  <c r="U43"/>
  <c r="T43"/>
  <c r="S43"/>
  <c r="R43"/>
  <c r="Q43"/>
  <c r="M43"/>
  <c r="I43"/>
  <c r="E43"/>
  <c r="B43"/>
  <c r="U42"/>
  <c r="T42"/>
  <c r="S42"/>
  <c r="R42"/>
  <c r="Q42"/>
  <c r="M42"/>
  <c r="I42"/>
  <c r="E42"/>
  <c r="U41"/>
  <c r="T41"/>
  <c r="S41"/>
  <c r="R41"/>
  <c r="Q41"/>
  <c r="M41"/>
  <c r="I41"/>
  <c r="E41"/>
  <c r="U40"/>
  <c r="T40"/>
  <c r="S40"/>
  <c r="R40"/>
  <c r="Q40"/>
  <c r="M40"/>
  <c r="I40"/>
  <c r="E40"/>
  <c r="U39"/>
  <c r="T39"/>
  <c r="S39"/>
  <c r="R39"/>
  <c r="Q39"/>
  <c r="M39"/>
  <c r="I39"/>
  <c r="E39"/>
  <c r="B39"/>
  <c r="U38"/>
  <c r="T38"/>
  <c r="S38"/>
  <c r="R38"/>
  <c r="Q38"/>
  <c r="M38"/>
  <c r="I38"/>
  <c r="E38"/>
  <c r="B38"/>
  <c r="U37"/>
  <c r="T37"/>
  <c r="S37"/>
  <c r="R37"/>
  <c r="Q37"/>
  <c r="M37"/>
  <c r="I37"/>
  <c r="E37"/>
  <c r="U36"/>
  <c r="T36"/>
  <c r="S36"/>
  <c r="R36"/>
  <c r="Q36"/>
  <c r="M36"/>
  <c r="I36"/>
  <c r="E36"/>
  <c r="B36"/>
  <c r="U35"/>
  <c r="T35"/>
  <c r="S35"/>
  <c r="R35"/>
  <c r="Q35"/>
  <c r="M35"/>
  <c r="I35"/>
  <c r="E35"/>
  <c r="U34"/>
  <c r="T34"/>
  <c r="S34"/>
  <c r="R34"/>
  <c r="Q34"/>
  <c r="M34"/>
  <c r="I34"/>
  <c r="E34"/>
  <c r="U33"/>
  <c r="T33"/>
  <c r="S33"/>
  <c r="R33"/>
  <c r="Q33"/>
  <c r="M33"/>
  <c r="I33"/>
  <c r="E33"/>
  <c r="U32"/>
  <c r="T32"/>
  <c r="S32"/>
  <c r="R32"/>
  <c r="Q32"/>
  <c r="M32"/>
  <c r="I32"/>
  <c r="E32"/>
  <c r="U31"/>
  <c r="T31"/>
  <c r="S31"/>
  <c r="R31"/>
  <c r="Q31"/>
  <c r="M31"/>
  <c r="I31"/>
  <c r="E31"/>
  <c r="U30"/>
  <c r="T30"/>
  <c r="S30"/>
  <c r="R30"/>
  <c r="Q30"/>
  <c r="M30"/>
  <c r="I30"/>
  <c r="E30"/>
  <c r="U29"/>
  <c r="T29"/>
  <c r="S29"/>
  <c r="R29"/>
  <c r="Q29"/>
  <c r="M29"/>
  <c r="I29"/>
  <c r="E29"/>
  <c r="U28"/>
  <c r="T28"/>
  <c r="S28"/>
  <c r="R28"/>
  <c r="Q28"/>
  <c r="M28"/>
  <c r="I28"/>
  <c r="E28"/>
  <c r="B28"/>
  <c r="U27"/>
  <c r="T27"/>
  <c r="S27"/>
  <c r="R27"/>
  <c r="Q27"/>
  <c r="M27"/>
  <c r="I27"/>
  <c r="E27"/>
  <c r="V26"/>
  <c r="U26"/>
  <c r="T26"/>
  <c r="S26"/>
  <c r="R26"/>
  <c r="Q26"/>
  <c r="P26"/>
  <c r="O26"/>
  <c r="N26"/>
  <c r="M26"/>
  <c r="L26"/>
  <c r="K26"/>
  <c r="J26"/>
  <c r="I26"/>
  <c r="H26"/>
  <c r="G26"/>
  <c r="F26"/>
  <c r="E26"/>
  <c r="D26"/>
  <c r="C26"/>
  <c r="B26"/>
  <c r="V24"/>
  <c r="U24"/>
  <c r="T24"/>
  <c r="S24"/>
  <c r="R24"/>
  <c r="Q24"/>
  <c r="P24"/>
  <c r="O24"/>
  <c r="N24"/>
  <c r="M24"/>
  <c r="L24"/>
  <c r="K24"/>
  <c r="J24"/>
  <c r="I24"/>
  <c r="H24"/>
  <c r="G24"/>
  <c r="F24"/>
  <c r="E24"/>
  <c r="D24"/>
  <c r="C24"/>
  <c r="B24"/>
  <c r="V23"/>
  <c r="U23"/>
  <c r="T23"/>
  <c r="S23"/>
  <c r="R23"/>
  <c r="Q23"/>
  <c r="P23"/>
  <c r="O23"/>
  <c r="N23"/>
  <c r="M23"/>
  <c r="L23"/>
  <c r="K23"/>
  <c r="J23"/>
  <c r="I23"/>
  <c r="H23"/>
  <c r="G23"/>
  <c r="F23"/>
  <c r="E23"/>
  <c r="D23"/>
  <c r="C23"/>
  <c r="B23"/>
  <c r="V22"/>
  <c r="U22"/>
  <c r="T22"/>
  <c r="S22"/>
  <c r="R22"/>
  <c r="Q22"/>
  <c r="P22"/>
  <c r="O22"/>
  <c r="N22"/>
  <c r="M22"/>
  <c r="L22"/>
  <c r="K22"/>
  <c r="J22"/>
  <c r="I22"/>
  <c r="H22"/>
  <c r="G22"/>
  <c r="F22"/>
  <c r="E22"/>
  <c r="D22"/>
  <c r="C22"/>
  <c r="V21"/>
  <c r="U21"/>
  <c r="T21"/>
  <c r="S21"/>
  <c r="R21"/>
  <c r="Q21"/>
  <c r="P21"/>
  <c r="O21"/>
  <c r="N21"/>
  <c r="M21"/>
  <c r="L21"/>
  <c r="K21"/>
  <c r="J21"/>
  <c r="I21"/>
  <c r="H21"/>
  <c r="G21"/>
  <c r="F21"/>
  <c r="E21"/>
  <c r="D21"/>
  <c r="C21"/>
  <c r="B21"/>
  <c r="V20"/>
  <c r="U20"/>
  <c r="T20"/>
  <c r="S20"/>
  <c r="R20"/>
  <c r="Q20"/>
  <c r="P20"/>
  <c r="O20"/>
  <c r="N20"/>
  <c r="M20"/>
  <c r="L20"/>
  <c r="K20"/>
  <c r="J20"/>
  <c r="I20"/>
  <c r="H20"/>
  <c r="G20"/>
  <c r="F20"/>
  <c r="E20"/>
  <c r="D20"/>
  <c r="C20"/>
  <c r="B20"/>
  <c r="V19"/>
  <c r="U19"/>
  <c r="T19"/>
  <c r="S19"/>
  <c r="R19"/>
  <c r="Q19"/>
  <c r="P19"/>
  <c r="O19"/>
  <c r="N19"/>
  <c r="M19"/>
  <c r="L19"/>
  <c r="K19"/>
  <c r="J19"/>
  <c r="I19"/>
  <c r="H19"/>
  <c r="G19"/>
  <c r="F19"/>
  <c r="E19"/>
  <c r="D19"/>
  <c r="C19"/>
  <c r="B19"/>
  <c r="V18"/>
  <c r="U18"/>
  <c r="T18"/>
  <c r="S18"/>
  <c r="R18"/>
  <c r="Q18"/>
  <c r="P18"/>
  <c r="O18"/>
  <c r="N18"/>
  <c r="M18"/>
  <c r="L18"/>
  <c r="K18"/>
  <c r="J18"/>
  <c r="I18"/>
  <c r="H18"/>
  <c r="G18"/>
  <c r="F18"/>
  <c r="E18"/>
  <c r="D18"/>
  <c r="C18"/>
  <c r="B18"/>
  <c r="U17"/>
  <c r="T17"/>
  <c r="S17"/>
  <c r="R17"/>
  <c r="Q17"/>
  <c r="M17"/>
  <c r="I17"/>
  <c r="E17"/>
  <c r="B17"/>
  <c r="U16"/>
  <c r="T16"/>
  <c r="S16"/>
  <c r="R16"/>
  <c r="Q16"/>
  <c r="M16"/>
  <c r="I16"/>
  <c r="E16"/>
  <c r="B16"/>
  <c r="U15"/>
  <c r="T15"/>
  <c r="S15"/>
  <c r="R15"/>
  <c r="Q15"/>
  <c r="M15"/>
  <c r="I15"/>
  <c r="E15"/>
  <c r="B15"/>
  <c r="U14"/>
  <c r="T14"/>
  <c r="S14"/>
  <c r="R14"/>
  <c r="Q14"/>
  <c r="M14"/>
  <c r="I14"/>
  <c r="E14"/>
  <c r="B14"/>
  <c r="U13"/>
  <c r="T13"/>
  <c r="S13"/>
  <c r="R13"/>
  <c r="Q13"/>
  <c r="M13"/>
  <c r="I13"/>
  <c r="E13"/>
  <c r="U12"/>
  <c r="T12"/>
  <c r="S12"/>
  <c r="R12"/>
  <c r="Q12"/>
  <c r="M12"/>
  <c r="I12"/>
  <c r="E12"/>
  <c r="U11"/>
  <c r="T11"/>
  <c r="S11"/>
  <c r="R11"/>
  <c r="Q11"/>
  <c r="M11"/>
  <c r="I11"/>
  <c r="E11"/>
  <c r="U10"/>
  <c r="T10"/>
  <c r="S10"/>
  <c r="R10"/>
  <c r="Q10"/>
  <c r="M10"/>
  <c r="I10"/>
  <c r="E10"/>
  <c r="U9"/>
  <c r="T9"/>
  <c r="S9"/>
  <c r="R9"/>
  <c r="Q9"/>
  <c r="M9"/>
  <c r="I9"/>
  <c r="E9"/>
  <c r="U8"/>
  <c r="T8"/>
  <c r="S8"/>
  <c r="R8"/>
  <c r="Q8"/>
  <c r="M8"/>
  <c r="I8"/>
  <c r="E8"/>
  <c r="B8"/>
  <c r="U7"/>
  <c r="T7"/>
  <c r="S7"/>
  <c r="R7"/>
  <c r="Q7"/>
  <c r="M7"/>
  <c r="I7"/>
  <c r="E7"/>
  <c r="B7"/>
  <c r="U6"/>
  <c r="T6"/>
  <c r="S6"/>
  <c r="R6"/>
  <c r="Q6"/>
  <c r="M6"/>
  <c r="I6"/>
  <c r="E6"/>
  <c r="F3"/>
  <c r="D3"/>
  <c r="A3"/>
  <c r="V2"/>
  <c r="U2"/>
  <c r="T2"/>
  <c r="S2"/>
  <c r="D2"/>
  <c r="A2"/>
  <c r="S1"/>
  <c r="D1"/>
  <c r="B119" i="15"/>
  <c r="B118"/>
  <c r="B117"/>
  <c r="B116"/>
  <c r="B115"/>
  <c r="B114"/>
  <c r="J99"/>
  <c r="C90"/>
  <c r="D90" s="1"/>
  <c r="B90"/>
  <c r="D89"/>
  <c r="C89"/>
  <c r="B89"/>
  <c r="C88"/>
  <c r="D88" s="1"/>
  <c r="B88"/>
  <c r="C87"/>
  <c r="D87" s="1"/>
  <c r="B87"/>
  <c r="B86"/>
  <c r="B85"/>
  <c r="C83"/>
  <c r="B83"/>
  <c r="C82"/>
  <c r="B82"/>
  <c r="B81"/>
  <c r="C79"/>
  <c r="B79"/>
  <c r="C78"/>
  <c r="B78"/>
  <c r="C77"/>
  <c r="B77"/>
  <c r="B76"/>
  <c r="C74"/>
  <c r="B74"/>
  <c r="C73"/>
  <c r="B73"/>
  <c r="C72"/>
  <c r="B72"/>
  <c r="C71"/>
  <c r="D71" s="1"/>
  <c r="B71"/>
  <c r="B70"/>
  <c r="C68"/>
  <c r="B68"/>
  <c r="C67"/>
  <c r="B67"/>
  <c r="C66"/>
  <c r="B66"/>
  <c r="C65"/>
  <c r="B65"/>
  <c r="C64"/>
  <c r="B64"/>
  <c r="C63"/>
  <c r="B63"/>
  <c r="C62"/>
  <c r="D62" s="1"/>
  <c r="B62"/>
  <c r="C61"/>
  <c r="B61"/>
  <c r="F60"/>
  <c r="C60"/>
  <c r="B60"/>
  <c r="C59"/>
  <c r="B59"/>
  <c r="C58"/>
  <c r="B58"/>
  <c r="C57"/>
  <c r="B57"/>
  <c r="C56"/>
  <c r="B56"/>
  <c r="F55"/>
  <c r="C55"/>
  <c r="B55"/>
  <c r="F54"/>
  <c r="C54"/>
  <c r="B54"/>
  <c r="F53"/>
  <c r="C53"/>
  <c r="B53"/>
  <c r="B52"/>
  <c r="C50"/>
  <c r="B50"/>
  <c r="C49"/>
  <c r="B49"/>
  <c r="C48"/>
  <c r="B48"/>
  <c r="B47"/>
  <c r="C45"/>
  <c r="B45"/>
  <c r="C44"/>
  <c r="B44"/>
  <c r="C43"/>
  <c r="B43"/>
  <c r="C42"/>
  <c r="B42"/>
  <c r="C41"/>
  <c r="B41"/>
  <c r="C40"/>
  <c r="B40"/>
  <c r="C39"/>
  <c r="B39"/>
  <c r="C38"/>
  <c r="B38"/>
  <c r="C37"/>
  <c r="B37"/>
  <c r="C36"/>
  <c r="B36"/>
  <c r="C35"/>
  <c r="B35"/>
  <c r="C34"/>
  <c r="B34"/>
  <c r="C33"/>
  <c r="B33"/>
  <c r="C32"/>
  <c r="B32"/>
  <c r="C31"/>
  <c r="B31"/>
  <c r="C30"/>
  <c r="B30"/>
  <c r="C29"/>
  <c r="B29"/>
  <c r="C28"/>
  <c r="B28"/>
  <c r="C27"/>
  <c r="B27"/>
  <c r="F26"/>
  <c r="C26"/>
  <c r="B26"/>
  <c r="B25"/>
  <c r="B24"/>
  <c r="B23"/>
  <c r="C22"/>
  <c r="B22"/>
  <c r="F21"/>
  <c r="B21"/>
  <c r="F20"/>
  <c r="B20"/>
  <c r="D19"/>
  <c r="B19"/>
  <c r="D18"/>
  <c r="B18"/>
  <c r="D17"/>
  <c r="B17"/>
  <c r="D16"/>
  <c r="B16"/>
  <c r="C15"/>
  <c r="B15"/>
  <c r="C14"/>
  <c r="D14" s="1"/>
  <c r="B14"/>
  <c r="C13"/>
  <c r="B13"/>
  <c r="C12"/>
  <c r="D12" s="1"/>
  <c r="B12"/>
  <c r="C11"/>
  <c r="B11"/>
  <c r="C10"/>
  <c r="B10"/>
  <c r="C9"/>
  <c r="B9"/>
  <c r="C8"/>
  <c r="B8"/>
  <c r="C7"/>
  <c r="B7"/>
  <c r="C6"/>
  <c r="B6"/>
  <c r="C3" i="16"/>
  <c r="D3"/>
  <c r="O6" i="2"/>
  <c r="B6"/>
  <c r="C111" i="14"/>
  <c r="B111"/>
  <c r="B110"/>
  <c r="C109"/>
  <c r="B109"/>
  <c r="C108"/>
  <c r="B108"/>
  <c r="C107"/>
  <c r="B107"/>
  <c r="B106"/>
  <c r="F105"/>
  <c r="B105"/>
  <c r="F104"/>
  <c r="D104"/>
  <c r="C104"/>
  <c r="B104"/>
  <c r="F103"/>
  <c r="D103"/>
  <c r="C103"/>
  <c r="B103"/>
  <c r="F102"/>
  <c r="D102"/>
  <c r="C102"/>
  <c r="B102"/>
  <c r="F101"/>
  <c r="D101"/>
  <c r="C101"/>
  <c r="B101"/>
  <c r="F100"/>
  <c r="D100"/>
  <c r="C100"/>
  <c r="B100"/>
  <c r="F99"/>
  <c r="D99"/>
  <c r="C99"/>
  <c r="B99"/>
  <c r="F98"/>
  <c r="D98"/>
  <c r="C98"/>
  <c r="B98"/>
  <c r="F97"/>
  <c r="D97"/>
  <c r="C97"/>
  <c r="B97"/>
  <c r="F96"/>
  <c r="D96"/>
  <c r="C96"/>
  <c r="B96"/>
  <c r="B95"/>
  <c r="C94"/>
  <c r="C93"/>
  <c r="B93"/>
  <c r="C92"/>
  <c r="B92"/>
  <c r="C91"/>
  <c r="B91"/>
  <c r="F89"/>
  <c r="C89"/>
  <c r="B89"/>
  <c r="F88"/>
  <c r="C88"/>
  <c r="B88"/>
  <c r="F87"/>
  <c r="C87"/>
  <c r="B87"/>
  <c r="C86"/>
  <c r="B86"/>
  <c r="F84"/>
  <c r="C84"/>
  <c r="B84"/>
  <c r="F83"/>
  <c r="C83"/>
  <c r="B83"/>
  <c r="F82"/>
  <c r="C82"/>
  <c r="B82"/>
  <c r="F81"/>
  <c r="C81"/>
  <c r="B81"/>
  <c r="F80"/>
  <c r="C80"/>
  <c r="B80"/>
  <c r="F79"/>
  <c r="C79"/>
  <c r="B79"/>
  <c r="C78"/>
  <c r="B78"/>
  <c r="F76"/>
  <c r="C76"/>
  <c r="B76"/>
  <c r="F75"/>
  <c r="C75"/>
  <c r="B75"/>
  <c r="F74"/>
  <c r="C74"/>
  <c r="B74"/>
  <c r="F73"/>
  <c r="C73"/>
  <c r="B73"/>
  <c r="F72"/>
  <c r="C72"/>
  <c r="B72"/>
  <c r="F71"/>
  <c r="C71"/>
  <c r="B71"/>
  <c r="F70"/>
  <c r="C70"/>
  <c r="B70"/>
  <c r="F69"/>
  <c r="C69"/>
  <c r="B69"/>
  <c r="F68"/>
  <c r="C68"/>
  <c r="B68"/>
  <c r="F67"/>
  <c r="C67"/>
  <c r="B67"/>
  <c r="F66"/>
  <c r="C66"/>
  <c r="B66"/>
  <c r="F65"/>
  <c r="C65"/>
  <c r="B65"/>
  <c r="F64"/>
  <c r="C64"/>
  <c r="B64"/>
  <c r="F63"/>
  <c r="C63"/>
  <c r="B63"/>
  <c r="F62"/>
  <c r="C62"/>
  <c r="B62"/>
  <c r="F61"/>
  <c r="C61"/>
  <c r="B61"/>
  <c r="C60"/>
  <c r="B60"/>
  <c r="F58"/>
  <c r="C58"/>
  <c r="B58"/>
  <c r="F57"/>
  <c r="C57"/>
  <c r="B57"/>
  <c r="F56"/>
  <c r="C56"/>
  <c r="B56"/>
  <c r="C55"/>
  <c r="B55"/>
  <c r="F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C26"/>
  <c r="B26"/>
  <c r="F25"/>
  <c r="B25"/>
  <c r="B24"/>
  <c r="F23"/>
  <c r="C23"/>
  <c r="B23"/>
  <c r="F22"/>
  <c r="C22"/>
  <c r="B22"/>
  <c r="F21"/>
  <c r="C21"/>
  <c r="B21"/>
  <c r="F20"/>
  <c r="C20"/>
  <c r="B20"/>
  <c r="F19"/>
  <c r="C19"/>
  <c r="B19"/>
  <c r="B18"/>
  <c r="F17"/>
  <c r="C17"/>
  <c r="B17"/>
  <c r="F16"/>
  <c r="C16"/>
  <c r="B16"/>
  <c r="F15"/>
  <c r="C15"/>
  <c r="B15"/>
  <c r="F14"/>
  <c r="C14"/>
  <c r="B14"/>
  <c r="F13"/>
  <c r="C13"/>
  <c r="B13"/>
  <c r="F12"/>
  <c r="C12"/>
  <c r="B12"/>
  <c r="F11"/>
  <c r="C11"/>
  <c r="B11"/>
  <c r="F10"/>
  <c r="C10"/>
  <c r="B10"/>
  <c r="F9"/>
  <c r="C9"/>
  <c r="B9"/>
  <c r="F8"/>
  <c r="C8"/>
  <c r="B8"/>
  <c r="F7"/>
  <c r="C7"/>
  <c r="B7"/>
  <c r="F6"/>
  <c r="C6"/>
  <c r="B6"/>
  <c r="C111" i="13"/>
  <c r="B111"/>
  <c r="B110"/>
  <c r="B109"/>
  <c r="B108"/>
  <c r="B107"/>
  <c r="B106"/>
  <c r="F105"/>
  <c r="B105"/>
  <c r="F104"/>
  <c r="D104"/>
  <c r="C104"/>
  <c r="B104"/>
  <c r="F103"/>
  <c r="D103"/>
  <c r="C103"/>
  <c r="B103"/>
  <c r="F102"/>
  <c r="D102"/>
  <c r="C102"/>
  <c r="B102"/>
  <c r="F101"/>
  <c r="D101"/>
  <c r="C101"/>
  <c r="B101"/>
  <c r="F100"/>
  <c r="D100"/>
  <c r="C100"/>
  <c r="B100"/>
  <c r="F99"/>
  <c r="D99"/>
  <c r="C99"/>
  <c r="B99"/>
  <c r="F98"/>
  <c r="D98"/>
  <c r="C98"/>
  <c r="B98"/>
  <c r="F97"/>
  <c r="D97"/>
  <c r="C97"/>
  <c r="B97"/>
  <c r="F96"/>
  <c r="B96"/>
  <c r="B95"/>
  <c r="C94"/>
  <c r="C93"/>
  <c r="B93"/>
  <c r="C92"/>
  <c r="B92"/>
  <c r="B91"/>
  <c r="F89"/>
  <c r="C89"/>
  <c r="B89"/>
  <c r="F88"/>
  <c r="C88"/>
  <c r="B88"/>
  <c r="F87"/>
  <c r="C87"/>
  <c r="B87"/>
  <c r="B86"/>
  <c r="F84"/>
  <c r="C84"/>
  <c r="B84"/>
  <c r="F83"/>
  <c r="C83"/>
  <c r="B83"/>
  <c r="F82"/>
  <c r="C82"/>
  <c r="B82"/>
  <c r="F81"/>
  <c r="C81"/>
  <c r="B81"/>
  <c r="F80"/>
  <c r="C80"/>
  <c r="B80"/>
  <c r="F79"/>
  <c r="C79"/>
  <c r="B79"/>
  <c r="B78"/>
  <c r="F76"/>
  <c r="C76"/>
  <c r="B76"/>
  <c r="F75"/>
  <c r="C75"/>
  <c r="B75"/>
  <c r="F74"/>
  <c r="C74"/>
  <c r="B74"/>
  <c r="F73"/>
  <c r="C73"/>
  <c r="B73"/>
  <c r="F72"/>
  <c r="C72"/>
  <c r="B72"/>
  <c r="F71"/>
  <c r="C71"/>
  <c r="B71"/>
  <c r="F70"/>
  <c r="C70"/>
  <c r="B70"/>
  <c r="F69"/>
  <c r="C69"/>
  <c r="B69"/>
  <c r="F68"/>
  <c r="C68"/>
  <c r="B68"/>
  <c r="F67"/>
  <c r="C67"/>
  <c r="B67"/>
  <c r="F66"/>
  <c r="C66"/>
  <c r="B66"/>
  <c r="F65"/>
  <c r="C65"/>
  <c r="B65"/>
  <c r="F64"/>
  <c r="C64"/>
  <c r="B64"/>
  <c r="F63"/>
  <c r="C63"/>
  <c r="B63"/>
  <c r="F62"/>
  <c r="C62"/>
  <c r="B62"/>
  <c r="F61"/>
  <c r="C61"/>
  <c r="B61"/>
  <c r="B60"/>
  <c r="C59"/>
  <c r="B59"/>
  <c r="F58"/>
  <c r="C58"/>
  <c r="B58"/>
  <c r="F57"/>
  <c r="C57"/>
  <c r="B57"/>
  <c r="F56"/>
  <c r="C56"/>
  <c r="B56"/>
  <c r="B55"/>
  <c r="D54"/>
  <c r="E54" s="1"/>
  <c r="C54"/>
  <c r="B54"/>
  <c r="F52"/>
  <c r="C52"/>
  <c r="B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F25"/>
  <c r="B25"/>
  <c r="B24"/>
  <c r="F23"/>
  <c r="B23"/>
  <c r="F22"/>
  <c r="B22"/>
  <c r="F21"/>
  <c r="B21"/>
  <c r="F20"/>
  <c r="B20"/>
  <c r="F19"/>
  <c r="B19"/>
  <c r="B18"/>
  <c r="F17"/>
  <c r="C17"/>
  <c r="B17"/>
  <c r="F16"/>
  <c r="C16"/>
  <c r="B16"/>
  <c r="F15"/>
  <c r="C15"/>
  <c r="B15"/>
  <c r="F14"/>
  <c r="C14"/>
  <c r="B14"/>
  <c r="F13"/>
  <c r="C13"/>
  <c r="B13"/>
  <c r="F12"/>
  <c r="C12"/>
  <c r="B12"/>
  <c r="F11"/>
  <c r="C11"/>
  <c r="B11"/>
  <c r="F10"/>
  <c r="C10"/>
  <c r="B10"/>
  <c r="F9"/>
  <c r="C9"/>
  <c r="B9"/>
  <c r="F8"/>
  <c r="C8"/>
  <c r="B8"/>
  <c r="F7"/>
  <c r="C7"/>
  <c r="B7"/>
  <c r="F6"/>
  <c r="C6"/>
  <c r="B6"/>
  <c r="C111" i="12"/>
  <c r="B111"/>
  <c r="G110"/>
  <c r="B110"/>
  <c r="B109"/>
  <c r="B108"/>
  <c r="B107"/>
  <c r="B106"/>
  <c r="F105"/>
  <c r="B105"/>
  <c r="F104"/>
  <c r="D104"/>
  <c r="C104"/>
  <c r="B104"/>
  <c r="F103"/>
  <c r="D103"/>
  <c r="C103"/>
  <c r="B103"/>
  <c r="F102"/>
  <c r="D102"/>
  <c r="C102"/>
  <c r="B102"/>
  <c r="F101"/>
  <c r="D101"/>
  <c r="C101"/>
  <c r="B101"/>
  <c r="F100"/>
  <c r="D100"/>
  <c r="C100"/>
  <c r="B100"/>
  <c r="F99"/>
  <c r="D99"/>
  <c r="C99"/>
  <c r="B99"/>
  <c r="F98"/>
  <c r="D98"/>
  <c r="C98"/>
  <c r="B98"/>
  <c r="F97"/>
  <c r="D97"/>
  <c r="C97"/>
  <c r="B97"/>
  <c r="F96"/>
  <c r="B96"/>
  <c r="B95"/>
  <c r="C94"/>
  <c r="C93"/>
  <c r="B93"/>
  <c r="C92"/>
  <c r="B92"/>
  <c r="B91"/>
  <c r="F89"/>
  <c r="C89"/>
  <c r="B89"/>
  <c r="F88"/>
  <c r="C88"/>
  <c r="B88"/>
  <c r="F87"/>
  <c r="C87"/>
  <c r="B87"/>
  <c r="B86"/>
  <c r="F84"/>
  <c r="C84"/>
  <c r="B84"/>
  <c r="F83"/>
  <c r="C83"/>
  <c r="B83"/>
  <c r="F82"/>
  <c r="C82"/>
  <c r="B82"/>
  <c r="F81"/>
  <c r="C81"/>
  <c r="B81"/>
  <c r="F80"/>
  <c r="C80"/>
  <c r="B80"/>
  <c r="F79"/>
  <c r="C79"/>
  <c r="B79"/>
  <c r="B78"/>
  <c r="F76"/>
  <c r="C76"/>
  <c r="B76"/>
  <c r="F75"/>
  <c r="C75"/>
  <c r="B75"/>
  <c r="F74"/>
  <c r="C74"/>
  <c r="B74"/>
  <c r="F73"/>
  <c r="C73"/>
  <c r="B73"/>
  <c r="F72"/>
  <c r="C72"/>
  <c r="B72"/>
  <c r="F71"/>
  <c r="C71"/>
  <c r="B71"/>
  <c r="F70"/>
  <c r="C70"/>
  <c r="B70"/>
  <c r="F69"/>
  <c r="C69"/>
  <c r="B69"/>
  <c r="F68"/>
  <c r="C68"/>
  <c r="B68"/>
  <c r="F67"/>
  <c r="C67"/>
  <c r="B67"/>
  <c r="F66"/>
  <c r="C66"/>
  <c r="B66"/>
  <c r="F65"/>
  <c r="C65"/>
  <c r="B65"/>
  <c r="F64"/>
  <c r="C64"/>
  <c r="B64"/>
  <c r="F63"/>
  <c r="C63"/>
  <c r="B63"/>
  <c r="F62"/>
  <c r="C62"/>
  <c r="B62"/>
  <c r="F61"/>
  <c r="C61"/>
  <c r="B61"/>
  <c r="B60"/>
  <c r="C59"/>
  <c r="B59"/>
  <c r="F58"/>
  <c r="C58"/>
  <c r="B58"/>
  <c r="F57"/>
  <c r="C57"/>
  <c r="B57"/>
  <c r="F56"/>
  <c r="C56"/>
  <c r="B56"/>
  <c r="B55"/>
  <c r="F54"/>
  <c r="D54"/>
  <c r="B54"/>
  <c r="F53"/>
  <c r="D53"/>
  <c r="C53"/>
  <c r="B53"/>
  <c r="F52"/>
  <c r="C52"/>
  <c r="B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F25"/>
  <c r="B25"/>
  <c r="B24"/>
  <c r="F23"/>
  <c r="B23"/>
  <c r="F22"/>
  <c r="B22"/>
  <c r="F21"/>
  <c r="B21"/>
  <c r="F20"/>
  <c r="B20"/>
  <c r="F19"/>
  <c r="B19"/>
  <c r="B18"/>
  <c r="F17"/>
  <c r="C17"/>
  <c r="B17"/>
  <c r="F16"/>
  <c r="C16"/>
  <c r="B16"/>
  <c r="F15"/>
  <c r="C15"/>
  <c r="B15"/>
  <c r="F14"/>
  <c r="C14"/>
  <c r="B14"/>
  <c r="F13"/>
  <c r="C13"/>
  <c r="B13"/>
  <c r="F12"/>
  <c r="C12"/>
  <c r="B12"/>
  <c r="F11"/>
  <c r="C11"/>
  <c r="B11"/>
  <c r="F10"/>
  <c r="C10"/>
  <c r="B10"/>
  <c r="F9"/>
  <c r="C9"/>
  <c r="B9"/>
  <c r="F8"/>
  <c r="C8"/>
  <c r="B8"/>
  <c r="F7"/>
  <c r="C7"/>
  <c r="B7"/>
  <c r="F6"/>
  <c r="C6"/>
  <c r="B6"/>
  <c r="B110" i="11"/>
  <c r="B109"/>
  <c r="B108"/>
  <c r="B107"/>
  <c r="B106"/>
  <c r="F105"/>
  <c r="B105"/>
  <c r="F104"/>
  <c r="C104"/>
  <c r="B104"/>
  <c r="F103"/>
  <c r="C103"/>
  <c r="B103"/>
  <c r="F102"/>
  <c r="C102"/>
  <c r="B102"/>
  <c r="F101"/>
  <c r="C101"/>
  <c r="B101"/>
  <c r="F100"/>
  <c r="C100"/>
  <c r="B100"/>
  <c r="F99"/>
  <c r="C99"/>
  <c r="B99"/>
  <c r="F98"/>
  <c r="C98"/>
  <c r="B98"/>
  <c r="F97"/>
  <c r="C97"/>
  <c r="B97"/>
  <c r="F96"/>
  <c r="B96"/>
  <c r="B95"/>
  <c r="C93"/>
  <c r="B93"/>
  <c r="C92"/>
  <c r="B92"/>
  <c r="B91"/>
  <c r="F89"/>
  <c r="C89"/>
  <c r="B89"/>
  <c r="F88"/>
  <c r="C88"/>
  <c r="B88"/>
  <c r="F87"/>
  <c r="C87"/>
  <c r="B87"/>
  <c r="B86"/>
  <c r="F84"/>
  <c r="D84"/>
  <c r="C84"/>
  <c r="B84"/>
  <c r="F83"/>
  <c r="C83"/>
  <c r="B83"/>
  <c r="F82"/>
  <c r="C82"/>
  <c r="B82"/>
  <c r="F81"/>
  <c r="C81"/>
  <c r="B81"/>
  <c r="F80"/>
  <c r="C80"/>
  <c r="B80"/>
  <c r="F79"/>
  <c r="C79"/>
  <c r="B79"/>
  <c r="B78"/>
  <c r="F76"/>
  <c r="C76"/>
  <c r="B76"/>
  <c r="F75"/>
  <c r="C75"/>
  <c r="B75"/>
  <c r="F74"/>
  <c r="C74"/>
  <c r="B74"/>
  <c r="F73"/>
  <c r="C73"/>
  <c r="B73"/>
  <c r="F72"/>
  <c r="C72"/>
  <c r="B72"/>
  <c r="F71"/>
  <c r="C71"/>
  <c r="B71"/>
  <c r="F70"/>
  <c r="C70"/>
  <c r="B70"/>
  <c r="F69"/>
  <c r="C69"/>
  <c r="B69"/>
  <c r="F68"/>
  <c r="C68"/>
  <c r="B68"/>
  <c r="F67"/>
  <c r="C67"/>
  <c r="B67"/>
  <c r="F66"/>
  <c r="C66"/>
  <c r="B66"/>
  <c r="F65"/>
  <c r="C65"/>
  <c r="B65"/>
  <c r="F64"/>
  <c r="C64"/>
  <c r="B64"/>
  <c r="F63"/>
  <c r="C63"/>
  <c r="B63"/>
  <c r="F62"/>
  <c r="C62"/>
  <c r="B62"/>
  <c r="F61"/>
  <c r="C61"/>
  <c r="B61"/>
  <c r="B60"/>
  <c r="F59"/>
  <c r="C59"/>
  <c r="B59"/>
  <c r="F58"/>
  <c r="C58"/>
  <c r="B58"/>
  <c r="F57"/>
  <c r="C57"/>
  <c r="B57"/>
  <c r="F56"/>
  <c r="C56"/>
  <c r="B56"/>
  <c r="B55"/>
  <c r="F54"/>
  <c r="D54"/>
  <c r="B54"/>
  <c r="F53"/>
  <c r="D53"/>
  <c r="C53"/>
  <c r="B53"/>
  <c r="F52"/>
  <c r="C52"/>
  <c r="B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F25"/>
  <c r="B25"/>
  <c r="B24"/>
  <c r="F23"/>
  <c r="B23"/>
  <c r="F22"/>
  <c r="B22"/>
  <c r="F21"/>
  <c r="B21"/>
  <c r="F20"/>
  <c r="B20"/>
  <c r="F19"/>
  <c r="B19"/>
  <c r="B18"/>
  <c r="F17"/>
  <c r="C17"/>
  <c r="B17"/>
  <c r="F16"/>
  <c r="C16"/>
  <c r="B16"/>
  <c r="F15"/>
  <c r="C15"/>
  <c r="B15"/>
  <c r="F14"/>
  <c r="C14"/>
  <c r="B14"/>
  <c r="F13"/>
  <c r="C13"/>
  <c r="B13"/>
  <c r="F12"/>
  <c r="C12"/>
  <c r="B12"/>
  <c r="F11"/>
  <c r="C11"/>
  <c r="B11"/>
  <c r="F10"/>
  <c r="C10"/>
  <c r="B10"/>
  <c r="F9"/>
  <c r="C9"/>
  <c r="B9"/>
  <c r="F8"/>
  <c r="C8"/>
  <c r="B8"/>
  <c r="F7"/>
  <c r="C7"/>
  <c r="B7"/>
  <c r="F6"/>
  <c r="C6"/>
  <c r="B6"/>
  <c r="B109" i="10"/>
  <c r="B108"/>
  <c r="B107"/>
  <c r="B106"/>
  <c r="F105"/>
  <c r="B105"/>
  <c r="F104"/>
  <c r="C104"/>
  <c r="D104" s="1"/>
  <c r="B104"/>
  <c r="F103"/>
  <c r="C103"/>
  <c r="D103" s="1"/>
  <c r="B103"/>
  <c r="F102"/>
  <c r="C102"/>
  <c r="D102" s="1"/>
  <c r="B102"/>
  <c r="F101"/>
  <c r="C101"/>
  <c r="D101" s="1"/>
  <c r="B101"/>
  <c r="F100"/>
  <c r="C100"/>
  <c r="D100" s="1"/>
  <c r="B100"/>
  <c r="F99"/>
  <c r="C99"/>
  <c r="D99" s="1"/>
  <c r="B99"/>
  <c r="F98"/>
  <c r="C98"/>
  <c r="D98" s="1"/>
  <c r="B98"/>
  <c r="F97"/>
  <c r="C97"/>
  <c r="D97" s="1"/>
  <c r="B97"/>
  <c r="F96"/>
  <c r="B96"/>
  <c r="B95"/>
  <c r="C93"/>
  <c r="B93"/>
  <c r="C92"/>
  <c r="B92"/>
  <c r="B91"/>
  <c r="F89"/>
  <c r="C89"/>
  <c r="B89"/>
  <c r="F88"/>
  <c r="C88"/>
  <c r="B88"/>
  <c r="F87"/>
  <c r="C87"/>
  <c r="B87"/>
  <c r="B86"/>
  <c r="F84"/>
  <c r="D84"/>
  <c r="C84"/>
  <c r="B84"/>
  <c r="F83"/>
  <c r="C83"/>
  <c r="B83"/>
  <c r="F82"/>
  <c r="C82"/>
  <c r="B82"/>
  <c r="F81"/>
  <c r="C81"/>
  <c r="B81"/>
  <c r="F80"/>
  <c r="C80"/>
  <c r="B80"/>
  <c r="F79"/>
  <c r="C79"/>
  <c r="B79"/>
  <c r="B78"/>
  <c r="F76"/>
  <c r="C76"/>
  <c r="B76"/>
  <c r="F75"/>
  <c r="C75"/>
  <c r="B75"/>
  <c r="F74"/>
  <c r="C74"/>
  <c r="B74"/>
  <c r="F73"/>
  <c r="C73"/>
  <c r="B73"/>
  <c r="F72"/>
  <c r="C72"/>
  <c r="B72"/>
  <c r="F71"/>
  <c r="C71"/>
  <c r="B71"/>
  <c r="F70"/>
  <c r="C70"/>
  <c r="B70"/>
  <c r="F69"/>
  <c r="C69"/>
  <c r="B69"/>
  <c r="F68"/>
  <c r="C68"/>
  <c r="B68"/>
  <c r="F67"/>
  <c r="C67"/>
  <c r="B67"/>
  <c r="F66"/>
  <c r="C66"/>
  <c r="B66"/>
  <c r="F65"/>
  <c r="C65"/>
  <c r="B65"/>
  <c r="F64"/>
  <c r="C64"/>
  <c r="B64"/>
  <c r="F63"/>
  <c r="C63"/>
  <c r="B63"/>
  <c r="F62"/>
  <c r="C62"/>
  <c r="B62"/>
  <c r="F61"/>
  <c r="C61"/>
  <c r="B61"/>
  <c r="B60"/>
  <c r="F59"/>
  <c r="C59"/>
  <c r="B59"/>
  <c r="F58"/>
  <c r="C58"/>
  <c r="B58"/>
  <c r="F57"/>
  <c r="C57"/>
  <c r="B57"/>
  <c r="F56"/>
  <c r="C56"/>
  <c r="B56"/>
  <c r="B55"/>
  <c r="F54"/>
  <c r="F53"/>
  <c r="D53"/>
  <c r="C53"/>
  <c r="F52"/>
  <c r="C52"/>
  <c r="B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F25"/>
  <c r="B25"/>
  <c r="B24"/>
  <c r="F23"/>
  <c r="B23"/>
  <c r="F22"/>
  <c r="B22"/>
  <c r="F21"/>
  <c r="B21"/>
  <c r="F20"/>
  <c r="B20"/>
  <c r="F19"/>
  <c r="B19"/>
  <c r="B18"/>
  <c r="F17"/>
  <c r="C17"/>
  <c r="B17"/>
  <c r="F16"/>
  <c r="C16"/>
  <c r="B16"/>
  <c r="F15"/>
  <c r="C15"/>
  <c r="B15"/>
  <c r="F14"/>
  <c r="C14"/>
  <c r="B14"/>
  <c r="F13"/>
  <c r="C13"/>
  <c r="B13"/>
  <c r="F12"/>
  <c r="C12"/>
  <c r="B12"/>
  <c r="F11"/>
  <c r="C11"/>
  <c r="B11"/>
  <c r="F10"/>
  <c r="C10"/>
  <c r="B10"/>
  <c r="F9"/>
  <c r="C9"/>
  <c r="B9"/>
  <c r="F8"/>
  <c r="C8"/>
  <c r="B8"/>
  <c r="F7"/>
  <c r="C7"/>
  <c r="B7"/>
  <c r="F6"/>
  <c r="C6"/>
  <c r="B6"/>
  <c r="B109" i="9"/>
  <c r="B108"/>
  <c r="B107"/>
  <c r="B106"/>
  <c r="F105"/>
  <c r="B105"/>
  <c r="F104"/>
  <c r="D104"/>
  <c r="C104"/>
  <c r="B104"/>
  <c r="F103"/>
  <c r="D103"/>
  <c r="C103"/>
  <c r="B103"/>
  <c r="F102"/>
  <c r="D102"/>
  <c r="C102"/>
  <c r="B102"/>
  <c r="F101"/>
  <c r="D101"/>
  <c r="C101"/>
  <c r="B101"/>
  <c r="F100"/>
  <c r="D100"/>
  <c r="C100"/>
  <c r="B100"/>
  <c r="F99"/>
  <c r="D99"/>
  <c r="C99"/>
  <c r="B99"/>
  <c r="F98"/>
  <c r="D98"/>
  <c r="C98"/>
  <c r="B98"/>
  <c r="F97"/>
  <c r="D97"/>
  <c r="H97" s="1"/>
  <c r="C97"/>
  <c r="B97"/>
  <c r="F96"/>
  <c r="B96"/>
  <c r="B95"/>
  <c r="C93"/>
  <c r="B93"/>
  <c r="C92"/>
  <c r="B92"/>
  <c r="B91"/>
  <c r="F89"/>
  <c r="C89"/>
  <c r="B89"/>
  <c r="F88"/>
  <c r="C88"/>
  <c r="B88"/>
  <c r="F87"/>
  <c r="C87"/>
  <c r="B87"/>
  <c r="B86"/>
  <c r="F84"/>
  <c r="D84"/>
  <c r="C84"/>
  <c r="B84"/>
  <c r="F83"/>
  <c r="C83"/>
  <c r="B83"/>
  <c r="F82"/>
  <c r="C82"/>
  <c r="B82"/>
  <c r="F81"/>
  <c r="C81"/>
  <c r="B81"/>
  <c r="F80"/>
  <c r="C80"/>
  <c r="B80"/>
  <c r="F79"/>
  <c r="C79"/>
  <c r="B79"/>
  <c r="B78"/>
  <c r="F76"/>
  <c r="C76"/>
  <c r="B76"/>
  <c r="F75"/>
  <c r="C75"/>
  <c r="B75"/>
  <c r="F74"/>
  <c r="C74"/>
  <c r="B74"/>
  <c r="F73"/>
  <c r="C73"/>
  <c r="B73"/>
  <c r="F72"/>
  <c r="C72"/>
  <c r="B72"/>
  <c r="F71"/>
  <c r="C71"/>
  <c r="B71"/>
  <c r="F70"/>
  <c r="C70"/>
  <c r="B70"/>
  <c r="F69"/>
  <c r="C69"/>
  <c r="B69"/>
  <c r="F68"/>
  <c r="C68"/>
  <c r="B68"/>
  <c r="F67"/>
  <c r="C67"/>
  <c r="B67"/>
  <c r="F66"/>
  <c r="C66"/>
  <c r="B66"/>
  <c r="F65"/>
  <c r="C65"/>
  <c r="B65"/>
  <c r="F64"/>
  <c r="C64"/>
  <c r="B64"/>
  <c r="F63"/>
  <c r="C63"/>
  <c r="B63"/>
  <c r="F62"/>
  <c r="C62"/>
  <c r="B62"/>
  <c r="F61"/>
  <c r="C61"/>
  <c r="B61"/>
  <c r="B60"/>
  <c r="C59"/>
  <c r="B59"/>
  <c r="F58"/>
  <c r="C58"/>
  <c r="B58"/>
  <c r="F57"/>
  <c r="C57"/>
  <c r="B57"/>
  <c r="F56"/>
  <c r="C56"/>
  <c r="B56"/>
  <c r="B55"/>
  <c r="F54"/>
  <c r="F53"/>
  <c r="F52"/>
  <c r="C52"/>
  <c r="B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F25"/>
  <c r="B25"/>
  <c r="B24"/>
  <c r="F23"/>
  <c r="B23"/>
  <c r="F22"/>
  <c r="B22"/>
  <c r="F21"/>
  <c r="B21"/>
  <c r="F20"/>
  <c r="B20"/>
  <c r="F19"/>
  <c r="B19"/>
  <c r="B18"/>
  <c r="F17"/>
  <c r="C17"/>
  <c r="B17"/>
  <c r="F16"/>
  <c r="C16"/>
  <c r="B16"/>
  <c r="F15"/>
  <c r="C15"/>
  <c r="B15"/>
  <c r="F14"/>
  <c r="C14"/>
  <c r="B14"/>
  <c r="F13"/>
  <c r="C13"/>
  <c r="B13"/>
  <c r="F12"/>
  <c r="C12"/>
  <c r="B12"/>
  <c r="F11"/>
  <c r="C11"/>
  <c r="B11"/>
  <c r="F10"/>
  <c r="C10"/>
  <c r="B10"/>
  <c r="F9"/>
  <c r="C9"/>
  <c r="B9"/>
  <c r="F8"/>
  <c r="C8"/>
  <c r="B8"/>
  <c r="F7"/>
  <c r="C7"/>
  <c r="B7"/>
  <c r="F6"/>
  <c r="C6"/>
  <c r="B6"/>
  <c r="B111" i="7"/>
  <c r="B110"/>
  <c r="B109"/>
  <c r="B108"/>
  <c r="B107"/>
  <c r="F106"/>
  <c r="B106"/>
  <c r="F105"/>
  <c r="B105"/>
  <c r="F104"/>
  <c r="D104"/>
  <c r="B104"/>
  <c r="F103"/>
  <c r="B103"/>
  <c r="F102"/>
  <c r="B102"/>
  <c r="F101"/>
  <c r="B101"/>
  <c r="F100"/>
  <c r="B100"/>
  <c r="F99"/>
  <c r="B99"/>
  <c r="F98"/>
  <c r="B98"/>
  <c r="F97"/>
  <c r="B97"/>
  <c r="B96"/>
  <c r="B94"/>
  <c r="B93"/>
  <c r="B92"/>
  <c r="F90"/>
  <c r="B90"/>
  <c r="F89"/>
  <c r="B89"/>
  <c r="F88"/>
  <c r="B88"/>
  <c r="B87"/>
  <c r="F85"/>
  <c r="D85"/>
  <c r="B85"/>
  <c r="F84"/>
  <c r="B84"/>
  <c r="F83"/>
  <c r="B83"/>
  <c r="F82"/>
  <c r="B82"/>
  <c r="F81"/>
  <c r="B81"/>
  <c r="F80"/>
  <c r="B80"/>
  <c r="B79"/>
  <c r="F78"/>
  <c r="F77"/>
  <c r="B77"/>
  <c r="F76"/>
  <c r="B76"/>
  <c r="F75"/>
  <c r="B75"/>
  <c r="F74"/>
  <c r="B74"/>
  <c r="F73"/>
  <c r="B73"/>
  <c r="F72"/>
  <c r="B72"/>
  <c r="F71"/>
  <c r="B71"/>
  <c r="F70"/>
  <c r="B70"/>
  <c r="F69"/>
  <c r="B69"/>
  <c r="F68"/>
  <c r="B68"/>
  <c r="F67"/>
  <c r="B67"/>
  <c r="F66"/>
  <c r="B66"/>
  <c r="F65"/>
  <c r="B65"/>
  <c r="F64"/>
  <c r="B64"/>
  <c r="F63"/>
  <c r="B63"/>
  <c r="F62"/>
  <c r="B62"/>
  <c r="B60"/>
  <c r="C59"/>
  <c r="B59"/>
  <c r="F58"/>
  <c r="C58"/>
  <c r="B58"/>
  <c r="F57"/>
  <c r="C57"/>
  <c r="B57"/>
  <c r="F56"/>
  <c r="C56"/>
  <c r="B56"/>
  <c r="B55"/>
  <c r="F54"/>
  <c r="F53"/>
  <c r="F52"/>
  <c r="C52"/>
  <c r="B52"/>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F25"/>
  <c r="B25"/>
  <c r="B24"/>
  <c r="F23"/>
  <c r="B23"/>
  <c r="F22"/>
  <c r="B22"/>
  <c r="F21"/>
  <c r="B21"/>
  <c r="F20"/>
  <c r="B20"/>
  <c r="F19"/>
  <c r="B19"/>
  <c r="B18"/>
  <c r="F17"/>
  <c r="C17"/>
  <c r="B17"/>
  <c r="F16"/>
  <c r="C16"/>
  <c r="B16"/>
  <c r="F15"/>
  <c r="C15"/>
  <c r="B15"/>
  <c r="F14"/>
  <c r="C14"/>
  <c r="B14"/>
  <c r="F13"/>
  <c r="C13"/>
  <c r="B13"/>
  <c r="F12"/>
  <c r="C12"/>
  <c r="B12"/>
  <c r="F11"/>
  <c r="C11"/>
  <c r="B11"/>
  <c r="F10"/>
  <c r="C10"/>
  <c r="B10"/>
  <c r="F9"/>
  <c r="C9"/>
  <c r="B9"/>
  <c r="F8"/>
  <c r="C8"/>
  <c r="B8"/>
  <c r="F7"/>
  <c r="C7"/>
  <c r="B7"/>
  <c r="F6"/>
  <c r="C6"/>
  <c r="B6"/>
  <c r="B110" i="6"/>
  <c r="B109"/>
  <c r="B108"/>
  <c r="B107"/>
  <c r="B106"/>
  <c r="F105"/>
  <c r="B105"/>
  <c r="C104"/>
  <c r="D104" s="1"/>
  <c r="B104"/>
  <c r="C103"/>
  <c r="D103" s="1"/>
  <c r="B103"/>
  <c r="C102"/>
  <c r="D102" s="1"/>
  <c r="B102"/>
  <c r="C101"/>
  <c r="D101" s="1"/>
  <c r="B101"/>
  <c r="C100"/>
  <c r="D100" s="1"/>
  <c r="B100"/>
  <c r="C99"/>
  <c r="D99" s="1"/>
  <c r="B99"/>
  <c r="C98"/>
  <c r="D98" s="1"/>
  <c r="B98"/>
  <c r="C97"/>
  <c r="D97" s="1"/>
  <c r="B97"/>
  <c r="B96"/>
  <c r="B95"/>
  <c r="F94"/>
  <c r="F93"/>
  <c r="C93"/>
  <c r="B93"/>
  <c r="F92"/>
  <c r="C92"/>
  <c r="B92"/>
  <c r="F91"/>
  <c r="B91"/>
  <c r="F90"/>
  <c r="F89"/>
  <c r="C89"/>
  <c r="B89"/>
  <c r="J88"/>
  <c r="C88"/>
  <c r="B88"/>
  <c r="F87"/>
  <c r="C87"/>
  <c r="B87"/>
  <c r="B86"/>
  <c r="F85"/>
  <c r="F84"/>
  <c r="D84"/>
  <c r="C84"/>
  <c r="B84"/>
  <c r="F83"/>
  <c r="C83"/>
  <c r="B83"/>
  <c r="F82"/>
  <c r="C82"/>
  <c r="B82"/>
  <c r="F81"/>
  <c r="C81"/>
  <c r="B81"/>
  <c r="F80"/>
  <c r="C80"/>
  <c r="B80"/>
  <c r="F79"/>
  <c r="C79"/>
  <c r="B79"/>
  <c r="B78"/>
  <c r="F77"/>
  <c r="D77"/>
  <c r="C77"/>
  <c r="B77"/>
  <c r="F76"/>
  <c r="C76"/>
  <c r="B76"/>
  <c r="F75"/>
  <c r="C75"/>
  <c r="B75"/>
  <c r="F74"/>
  <c r="C74"/>
  <c r="B74"/>
  <c r="F73"/>
  <c r="C73"/>
  <c r="B73"/>
  <c r="C72"/>
  <c r="B72"/>
  <c r="F71"/>
  <c r="C71"/>
  <c r="B71"/>
  <c r="F70"/>
  <c r="C70"/>
  <c r="B70"/>
  <c r="F69"/>
  <c r="C69"/>
  <c r="B69"/>
  <c r="F68"/>
  <c r="C68"/>
  <c r="B68"/>
  <c r="F67"/>
  <c r="C67"/>
  <c r="B67"/>
  <c r="F66"/>
  <c r="C66"/>
  <c r="B66"/>
  <c r="F65"/>
  <c r="C65"/>
  <c r="B65"/>
  <c r="F64"/>
  <c r="C64"/>
  <c r="B64"/>
  <c r="F63"/>
  <c r="C63"/>
  <c r="B63"/>
  <c r="F62"/>
  <c r="C62"/>
  <c r="B62"/>
  <c r="F61"/>
  <c r="C61"/>
  <c r="B61"/>
  <c r="B60"/>
  <c r="F59"/>
  <c r="C59"/>
  <c r="B59"/>
  <c r="F58"/>
  <c r="C58"/>
  <c r="B58"/>
  <c r="F57"/>
  <c r="C57"/>
  <c r="B57"/>
  <c r="F56"/>
  <c r="C56"/>
  <c r="B56"/>
  <c r="B55"/>
  <c r="B54"/>
  <c r="B53"/>
  <c r="F51"/>
  <c r="C51"/>
  <c r="B51"/>
  <c r="F50"/>
  <c r="C50"/>
  <c r="B50"/>
  <c r="F49"/>
  <c r="C49"/>
  <c r="B49"/>
  <c r="F48"/>
  <c r="C48"/>
  <c r="B48"/>
  <c r="F47"/>
  <c r="C47"/>
  <c r="B47"/>
  <c r="F46"/>
  <c r="C46"/>
  <c r="B46"/>
  <c r="F45"/>
  <c r="C45"/>
  <c r="B45"/>
  <c r="F44"/>
  <c r="C44"/>
  <c r="B44"/>
  <c r="F43"/>
  <c r="C43"/>
  <c r="B43"/>
  <c r="F42"/>
  <c r="C42"/>
  <c r="B42"/>
  <c r="F41"/>
  <c r="C41"/>
  <c r="B41"/>
  <c r="F40"/>
  <c r="C40"/>
  <c r="B40"/>
  <c r="F39"/>
  <c r="C39"/>
  <c r="B39"/>
  <c r="F38"/>
  <c r="C38"/>
  <c r="B38"/>
  <c r="F37"/>
  <c r="C37"/>
  <c r="B37"/>
  <c r="F36"/>
  <c r="C36"/>
  <c r="B36"/>
  <c r="F35"/>
  <c r="C35"/>
  <c r="B35"/>
  <c r="F34"/>
  <c r="C34"/>
  <c r="B34"/>
  <c r="F33"/>
  <c r="C33"/>
  <c r="B33"/>
  <c r="F32"/>
  <c r="C32"/>
  <c r="B32"/>
  <c r="F31"/>
  <c r="C31"/>
  <c r="B31"/>
  <c r="F30"/>
  <c r="C30"/>
  <c r="B30"/>
  <c r="F29"/>
  <c r="C29"/>
  <c r="B29"/>
  <c r="F28"/>
  <c r="C28"/>
  <c r="B28"/>
  <c r="F27"/>
  <c r="C27"/>
  <c r="B27"/>
  <c r="B26"/>
  <c r="B25"/>
  <c r="B24"/>
  <c r="B23"/>
  <c r="B22"/>
  <c r="B21"/>
  <c r="B20"/>
  <c r="B19"/>
  <c r="B18"/>
  <c r="F17"/>
  <c r="C17"/>
  <c r="B17"/>
  <c r="F16"/>
  <c r="C16"/>
  <c r="B16"/>
  <c r="F15"/>
  <c r="C15"/>
  <c r="B15"/>
  <c r="F14"/>
  <c r="C14"/>
  <c r="B14"/>
  <c r="F13"/>
  <c r="C13"/>
  <c r="B13"/>
  <c r="F12"/>
  <c r="C12"/>
  <c r="B12"/>
  <c r="F11"/>
  <c r="C11"/>
  <c r="B11"/>
  <c r="F10"/>
  <c r="C10"/>
  <c r="B10"/>
  <c r="F9"/>
  <c r="C9"/>
  <c r="B9"/>
  <c r="F8"/>
  <c r="C8"/>
  <c r="B8"/>
  <c r="F7"/>
  <c r="C7"/>
  <c r="B7"/>
  <c r="F6"/>
  <c r="C6"/>
  <c r="B6"/>
  <c r="C19" i="15"/>
  <c r="C17"/>
  <c r="H79" i="3"/>
  <c r="C16" i="15"/>
  <c r="F6" i="3"/>
  <c r="C6"/>
  <c r="B6"/>
  <c r="B113" i="5"/>
  <c r="B112"/>
  <c r="B111"/>
  <c r="B110"/>
  <c r="B109"/>
  <c r="B108"/>
  <c r="C107"/>
  <c r="D107" s="1"/>
  <c r="B107"/>
  <c r="C106"/>
  <c r="D106" s="1"/>
  <c r="B106"/>
  <c r="C105"/>
  <c r="D105" s="1"/>
  <c r="B105"/>
  <c r="C104"/>
  <c r="D104" s="1"/>
  <c r="B104"/>
  <c r="B103"/>
  <c r="C102"/>
  <c r="D102" s="1"/>
  <c r="B102"/>
  <c r="C101"/>
  <c r="D101" s="1"/>
  <c r="B101"/>
  <c r="C100"/>
  <c r="D100" s="1"/>
  <c r="B100"/>
  <c r="B99"/>
  <c r="B98"/>
  <c r="B96"/>
  <c r="C95"/>
  <c r="D95" s="1"/>
  <c r="D95" i="3" s="1"/>
  <c r="D95" i="4" s="1"/>
  <c r="B95" i="5"/>
  <c r="B94"/>
  <c r="C92"/>
  <c r="D92" s="1"/>
  <c r="B92"/>
  <c r="C91"/>
  <c r="D91" s="1"/>
  <c r="B91"/>
  <c r="C90"/>
  <c r="D90" s="1"/>
  <c r="B90"/>
  <c r="B89"/>
  <c r="C87"/>
  <c r="D87" s="1"/>
  <c r="B87"/>
  <c r="C86"/>
  <c r="D86" s="1"/>
  <c r="B86"/>
  <c r="C85"/>
  <c r="D85" s="1"/>
  <c r="B85"/>
  <c r="C84"/>
  <c r="D84" s="1"/>
  <c r="B84"/>
  <c r="C83"/>
  <c r="D83" s="1"/>
  <c r="B83"/>
  <c r="C82"/>
  <c r="D82" s="1"/>
  <c r="B82"/>
  <c r="B81"/>
  <c r="C79"/>
  <c r="D79" s="1"/>
  <c r="B79"/>
  <c r="C78"/>
  <c r="D78" s="1"/>
  <c r="B78"/>
  <c r="C77"/>
  <c r="D77" s="1"/>
  <c r="B77"/>
  <c r="C76"/>
  <c r="D76" s="1"/>
  <c r="B76"/>
  <c r="C75"/>
  <c r="D75" s="1"/>
  <c r="B75"/>
  <c r="C74"/>
  <c r="D74" s="1"/>
  <c r="B74"/>
  <c r="C73"/>
  <c r="D73" s="1"/>
  <c r="B73"/>
  <c r="C72"/>
  <c r="D72" s="1"/>
  <c r="B72"/>
  <c r="C71"/>
  <c r="D71" s="1"/>
  <c r="B71"/>
  <c r="C70"/>
  <c r="D70" s="1"/>
  <c r="B70"/>
  <c r="C69"/>
  <c r="D69" s="1"/>
  <c r="B69"/>
  <c r="C68"/>
  <c r="D68" s="1"/>
  <c r="B68"/>
  <c r="C67"/>
  <c r="D67" s="1"/>
  <c r="B67"/>
  <c r="C66"/>
  <c r="D66" s="1"/>
  <c r="B66"/>
  <c r="C65"/>
  <c r="D65" s="1"/>
  <c r="B65"/>
  <c r="B64"/>
  <c r="B62"/>
  <c r="C61"/>
  <c r="B61"/>
  <c r="C60"/>
  <c r="D60" s="1"/>
  <c r="B60"/>
  <c r="C59"/>
  <c r="D59" s="1"/>
  <c r="B59"/>
  <c r="C58"/>
  <c r="D58" s="1"/>
  <c r="B58"/>
  <c r="B57"/>
  <c r="C54"/>
  <c r="D54" s="1"/>
  <c r="B54"/>
  <c r="C53"/>
  <c r="D53" s="1"/>
  <c r="B53"/>
  <c r="C52"/>
  <c r="D52" s="1"/>
  <c r="B52"/>
  <c r="C51"/>
  <c r="D51" s="1"/>
  <c r="B51"/>
  <c r="C50"/>
  <c r="D50" s="1"/>
  <c r="B50"/>
  <c r="C49"/>
  <c r="D49" s="1"/>
  <c r="B49"/>
  <c r="C48"/>
  <c r="D48" s="1"/>
  <c r="B48"/>
  <c r="C47"/>
  <c r="D47" s="1"/>
  <c r="B47"/>
  <c r="C46"/>
  <c r="D46" s="1"/>
  <c r="B46"/>
  <c r="C45"/>
  <c r="D45" s="1"/>
  <c r="B45"/>
  <c r="C44"/>
  <c r="D44" s="1"/>
  <c r="B44"/>
  <c r="C43"/>
  <c r="D43" s="1"/>
  <c r="B43"/>
  <c r="C42"/>
  <c r="D42" s="1"/>
  <c r="B42"/>
  <c r="C41"/>
  <c r="D41" s="1"/>
  <c r="B41"/>
  <c r="C40"/>
  <c r="D40" s="1"/>
  <c r="B40"/>
  <c r="C39"/>
  <c r="D39" s="1"/>
  <c r="B39"/>
  <c r="C38"/>
  <c r="D38" s="1"/>
  <c r="B38"/>
  <c r="C37"/>
  <c r="D37" s="1"/>
  <c r="B37"/>
  <c r="C36"/>
  <c r="D36" s="1"/>
  <c r="B36"/>
  <c r="C35"/>
  <c r="D35" s="1"/>
  <c r="B35"/>
  <c r="C34"/>
  <c r="D34" s="1"/>
  <c r="B34"/>
  <c r="C33"/>
  <c r="D33" s="1"/>
  <c r="B33"/>
  <c r="C31"/>
  <c r="D31" s="1"/>
  <c r="B31"/>
  <c r="C30"/>
  <c r="D30" s="1"/>
  <c r="B30"/>
  <c r="C29"/>
  <c r="D29" s="1"/>
  <c r="B29"/>
  <c r="C28"/>
  <c r="D28" s="1"/>
  <c r="B28"/>
  <c r="B27"/>
  <c r="B26"/>
  <c r="B25"/>
  <c r="B24"/>
  <c r="D23"/>
  <c r="C23"/>
  <c r="B23"/>
  <c r="D22"/>
  <c r="C22"/>
  <c r="B22"/>
  <c r="D21"/>
  <c r="C21"/>
  <c r="B21"/>
  <c r="D20"/>
  <c r="C20"/>
  <c r="B20"/>
  <c r="B19"/>
  <c r="C18"/>
  <c r="D18" s="1"/>
  <c r="B18"/>
  <c r="C17"/>
  <c r="D17" s="1"/>
  <c r="B17"/>
  <c r="C16"/>
  <c r="D16" s="1"/>
  <c r="B16"/>
  <c r="C15"/>
  <c r="D15" s="1"/>
  <c r="B15"/>
  <c r="C14"/>
  <c r="B14"/>
  <c r="C12"/>
  <c r="D12" s="1"/>
  <c r="B12"/>
  <c r="C11"/>
  <c r="D11" s="1"/>
  <c r="B11"/>
  <c r="C10"/>
  <c r="D10" s="1"/>
  <c r="B10"/>
  <c r="C9"/>
  <c r="D9" s="1"/>
  <c r="B9"/>
  <c r="C8"/>
  <c r="D8" s="1"/>
  <c r="B8"/>
  <c r="C7"/>
  <c r="D7" s="1"/>
  <c r="B7"/>
  <c r="C6"/>
  <c r="B6"/>
  <c r="B113" i="8"/>
  <c r="F108"/>
  <c r="F97"/>
  <c r="F96"/>
  <c r="F95"/>
  <c r="F94"/>
  <c r="F92"/>
  <c r="F91"/>
  <c r="F118" i="15" s="1"/>
  <c r="F90" i="8"/>
  <c r="F117" i="15" s="1"/>
  <c r="F115"/>
  <c r="F87" i="8"/>
  <c r="F86"/>
  <c r="F85"/>
  <c r="F84"/>
  <c r="F83"/>
  <c r="F82"/>
  <c r="F86" i="15" s="1"/>
  <c r="F79"/>
  <c r="F79" i="8"/>
  <c r="F78" i="15" s="1"/>
  <c r="F78" i="8"/>
  <c r="F77" i="15" s="1"/>
  <c r="F77" i="8"/>
  <c r="F76" i="15" s="1"/>
  <c r="F76" i="8"/>
  <c r="F75"/>
  <c r="F73" i="15" s="1"/>
  <c r="F74" i="8"/>
  <c r="F72" i="15" s="1"/>
  <c r="F73" i="8"/>
  <c r="F71" i="15" s="1"/>
  <c r="F72" i="8"/>
  <c r="F70" i="15" s="1"/>
  <c r="F71" i="8"/>
  <c r="F70"/>
  <c r="F68" i="15" s="1"/>
  <c r="F69" i="8"/>
  <c r="F67" i="15" s="1"/>
  <c r="F68" i="8"/>
  <c r="F66" i="15" s="1"/>
  <c r="F67" i="8"/>
  <c r="F65" i="15" s="1"/>
  <c r="F66" i="8"/>
  <c r="F64" i="15" s="1"/>
  <c r="F65" i="8"/>
  <c r="F63" i="15" s="1"/>
  <c r="F64" i="8"/>
  <c r="F62" i="15" s="1"/>
  <c r="F60" i="8"/>
  <c r="F59" i="15" s="1"/>
  <c r="F59" i="8"/>
  <c r="F58" i="15" s="1"/>
  <c r="F58" i="8"/>
  <c r="F57" i="15" s="1"/>
  <c r="F53" i="8"/>
  <c r="F52" i="15" s="1"/>
  <c r="F52" i="8"/>
  <c r="F51"/>
  <c r="F50" i="15" s="1"/>
  <c r="F50" i="8"/>
  <c r="F49" i="15" s="1"/>
  <c r="F49" i="8"/>
  <c r="F48" i="15" s="1"/>
  <c r="F48" i="8"/>
  <c r="F47" i="15" s="1"/>
  <c r="F47" i="8"/>
  <c r="F46"/>
  <c r="F45" i="15" s="1"/>
  <c r="F45" i="8"/>
  <c r="F44" i="15" s="1"/>
  <c r="F44" i="8"/>
  <c r="F43" i="15" s="1"/>
  <c r="F43" i="8"/>
  <c r="F42" i="15" s="1"/>
  <c r="F42" i="8"/>
  <c r="F41" i="15" s="1"/>
  <c r="F41" i="8"/>
  <c r="F40" i="15" s="1"/>
  <c r="F40" i="8"/>
  <c r="F39" i="15" s="1"/>
  <c r="F39" i="8"/>
  <c r="F38" i="15" s="1"/>
  <c r="F38" i="8"/>
  <c r="F37" i="15" s="1"/>
  <c r="F37" i="8"/>
  <c r="F36" i="15" s="1"/>
  <c r="F36" i="8"/>
  <c r="F35" i="15" s="1"/>
  <c r="F35" i="8"/>
  <c r="F34" i="15" s="1"/>
  <c r="F34" i="8"/>
  <c r="F33" i="15" s="1"/>
  <c r="F33" i="8"/>
  <c r="F32" i="15" s="1"/>
  <c r="F31" i="8"/>
  <c r="F31" i="15" s="1"/>
  <c r="F30" i="8"/>
  <c r="F30" i="15" s="1"/>
  <c r="F29" i="8"/>
  <c r="F29" i="15" s="1"/>
  <c r="F28" i="8"/>
  <c r="F28" i="15" s="1"/>
  <c r="F18" i="8"/>
  <c r="F19" i="15" s="1"/>
  <c r="F17" i="8"/>
  <c r="F18" i="15" s="1"/>
  <c r="F16" i="8"/>
  <c r="F17" i="15" s="1"/>
  <c r="F15" i="8"/>
  <c r="F16" i="15" s="1"/>
  <c r="F13" i="8"/>
  <c r="F15" i="15" s="1"/>
  <c r="F12" i="8"/>
  <c r="F13" i="15" s="1"/>
  <c r="F11" i="8"/>
  <c r="F11" i="15" s="1"/>
  <c r="F10" i="8"/>
  <c r="F10" i="15" s="1"/>
  <c r="F9" i="8"/>
  <c r="F9" i="15" s="1"/>
  <c r="F8" i="8"/>
  <c r="F8" i="15" s="1"/>
  <c r="F7" i="8"/>
  <c r="F7" i="15" s="1"/>
  <c r="F6" i="8"/>
  <c r="F6" i="15" s="1"/>
  <c r="C6" i="8"/>
  <c r="D6" s="1"/>
  <c r="A135" i="21"/>
  <c r="D134"/>
  <c r="D133"/>
  <c r="D132"/>
  <c r="D131"/>
  <c r="D130"/>
  <c r="A130"/>
  <c r="D129"/>
  <c r="D128"/>
  <c r="D127"/>
  <c r="Q123"/>
  <c r="O123"/>
  <c r="B122"/>
  <c r="Q121"/>
  <c r="B121"/>
  <c r="Q120"/>
  <c r="O120"/>
  <c r="M120"/>
  <c r="Q119"/>
  <c r="L119"/>
  <c r="Q118"/>
  <c r="O118"/>
  <c r="L118"/>
  <c r="O117"/>
  <c r="H117"/>
  <c r="O116"/>
  <c r="N116"/>
  <c r="O115"/>
  <c r="N115"/>
  <c r="D115"/>
  <c r="P114"/>
  <c r="O114"/>
  <c r="N114"/>
  <c r="V110"/>
  <c r="V109"/>
  <c r="V108"/>
  <c r="T108"/>
  <c r="S108"/>
  <c r="R108"/>
  <c r="N108"/>
  <c r="M108"/>
  <c r="L108"/>
  <c r="K108"/>
  <c r="J108"/>
  <c r="I108"/>
  <c r="H108"/>
  <c r="G108"/>
  <c r="F108"/>
  <c r="E108"/>
  <c r="D108"/>
  <c r="C108"/>
  <c r="B108"/>
  <c r="V107"/>
  <c r="U105"/>
  <c r="T105"/>
  <c r="S105"/>
  <c r="R105"/>
  <c r="Q105"/>
  <c r="M105"/>
  <c r="I105"/>
  <c r="E105"/>
  <c r="U104"/>
  <c r="T104"/>
  <c r="R104"/>
  <c r="Q104"/>
  <c r="M104"/>
  <c r="I104"/>
  <c r="E104"/>
  <c r="U103"/>
  <c r="T103"/>
  <c r="S103"/>
  <c r="R103"/>
  <c r="Q103"/>
  <c r="M103"/>
  <c r="I103"/>
  <c r="E103"/>
  <c r="U102"/>
  <c r="T102"/>
  <c r="S102"/>
  <c r="R102"/>
  <c r="Q102"/>
  <c r="M102"/>
  <c r="I102"/>
  <c r="E102"/>
  <c r="D102"/>
  <c r="C102"/>
  <c r="U101"/>
  <c r="T101"/>
  <c r="S101"/>
  <c r="R101"/>
  <c r="Q101"/>
  <c r="N101"/>
  <c r="M101"/>
  <c r="L101"/>
  <c r="K101"/>
  <c r="J101"/>
  <c r="I101"/>
  <c r="G101"/>
  <c r="F101"/>
  <c r="E101"/>
  <c r="C101"/>
  <c r="B101"/>
  <c r="U100"/>
  <c r="T100"/>
  <c r="S100"/>
  <c r="R100"/>
  <c r="Q100"/>
  <c r="M100"/>
  <c r="K100"/>
  <c r="I100"/>
  <c r="H100"/>
  <c r="F100"/>
  <c r="E100"/>
  <c r="C100"/>
  <c r="U99"/>
  <c r="T99"/>
  <c r="S99"/>
  <c r="R99"/>
  <c r="Q99"/>
  <c r="M99"/>
  <c r="I99"/>
  <c r="G99"/>
  <c r="F99"/>
  <c r="E99"/>
  <c r="U98"/>
  <c r="T98"/>
  <c r="S98"/>
  <c r="R98"/>
  <c r="Q98"/>
  <c r="M98"/>
  <c r="I98"/>
  <c r="E98"/>
  <c r="R97"/>
  <c r="U97"/>
  <c r="N97"/>
  <c r="M97"/>
  <c r="T97" s="1"/>
  <c r="L97"/>
  <c r="K97"/>
  <c r="J97"/>
  <c r="I97"/>
  <c r="S97" s="1"/>
  <c r="H97"/>
  <c r="G97"/>
  <c r="F97"/>
  <c r="E97"/>
  <c r="D97"/>
  <c r="C97"/>
  <c r="B97"/>
  <c r="V96"/>
  <c r="S96"/>
  <c r="R96"/>
  <c r="S94"/>
  <c r="N94"/>
  <c r="M94"/>
  <c r="I94"/>
  <c r="E94"/>
  <c r="T93"/>
  <c r="S93"/>
  <c r="Q93"/>
  <c r="U93" s="1"/>
  <c r="M93"/>
  <c r="E93"/>
  <c r="V92"/>
  <c r="S92"/>
  <c r="P92"/>
  <c r="N92"/>
  <c r="M92"/>
  <c r="L92"/>
  <c r="K92"/>
  <c r="J92"/>
  <c r="I92"/>
  <c r="H92"/>
  <c r="G92"/>
  <c r="F92"/>
  <c r="E92"/>
  <c r="D92"/>
  <c r="C92"/>
  <c r="B92"/>
  <c r="T90"/>
  <c r="S90"/>
  <c r="R90"/>
  <c r="Q90"/>
  <c r="U90" s="1"/>
  <c r="N90"/>
  <c r="M90"/>
  <c r="I90"/>
  <c r="G90"/>
  <c r="E90"/>
  <c r="C90"/>
  <c r="Y89"/>
  <c r="T89"/>
  <c r="S89"/>
  <c r="R89"/>
  <c r="Q89"/>
  <c r="U89" s="1"/>
  <c r="N89"/>
  <c r="M89"/>
  <c r="I89"/>
  <c r="G89"/>
  <c r="E89"/>
  <c r="C89"/>
  <c r="Y88"/>
  <c r="T88"/>
  <c r="S88"/>
  <c r="R88"/>
  <c r="Q88"/>
  <c r="U88" s="1"/>
  <c r="N88"/>
  <c r="M88"/>
  <c r="I88"/>
  <c r="G88"/>
  <c r="E88"/>
  <c r="C88"/>
  <c r="V87"/>
  <c r="T87"/>
  <c r="S87"/>
  <c r="R87"/>
  <c r="P87"/>
  <c r="N87"/>
  <c r="M87"/>
  <c r="L87"/>
  <c r="K87"/>
  <c r="J87"/>
  <c r="I87"/>
  <c r="H87"/>
  <c r="G87"/>
  <c r="F87"/>
  <c r="E87"/>
  <c r="D87"/>
  <c r="C87"/>
  <c r="B87"/>
  <c r="T84"/>
  <c r="S84"/>
  <c r="R84"/>
  <c r="Q84"/>
  <c r="U84" s="1"/>
  <c r="N84"/>
  <c r="M84"/>
  <c r="K84"/>
  <c r="J84"/>
  <c r="I84"/>
  <c r="F84"/>
  <c r="E84"/>
  <c r="C84"/>
  <c r="T83"/>
  <c r="S83"/>
  <c r="R83"/>
  <c r="Q83"/>
  <c r="U83" s="1"/>
  <c r="M83"/>
  <c r="I83"/>
  <c r="E83"/>
  <c r="T82"/>
  <c r="S82"/>
  <c r="R82"/>
  <c r="Q82"/>
  <c r="U82" s="1"/>
  <c r="M82"/>
  <c r="I82"/>
  <c r="E82"/>
  <c r="T81"/>
  <c r="S81"/>
  <c r="R81"/>
  <c r="Q81"/>
  <c r="U81" s="1"/>
  <c r="M81"/>
  <c r="I81"/>
  <c r="E81"/>
  <c r="T80"/>
  <c r="S80"/>
  <c r="R80"/>
  <c r="Q80"/>
  <c r="N80"/>
  <c r="M80"/>
  <c r="L80"/>
  <c r="K80"/>
  <c r="J80"/>
  <c r="I80"/>
  <c r="H80"/>
  <c r="G80"/>
  <c r="F80"/>
  <c r="E80"/>
  <c r="D80"/>
  <c r="C80"/>
  <c r="B80"/>
  <c r="V79"/>
  <c r="T79"/>
  <c r="T96" s="1"/>
  <c r="S79"/>
  <c r="R79"/>
  <c r="P79"/>
  <c r="N79"/>
  <c r="N96" s="1"/>
  <c r="N109" s="1"/>
  <c r="N110" s="1"/>
  <c r="M79"/>
  <c r="M96" s="1"/>
  <c r="L79"/>
  <c r="L96" s="1"/>
  <c r="L109" s="1"/>
  <c r="L110" s="1"/>
  <c r="K79"/>
  <c r="K96" s="1"/>
  <c r="K109" s="1"/>
  <c r="K110" s="1"/>
  <c r="J79"/>
  <c r="J96" s="1"/>
  <c r="J109" s="1"/>
  <c r="I79"/>
  <c r="I96" s="1"/>
  <c r="H79"/>
  <c r="H96" s="1"/>
  <c r="H109" s="1"/>
  <c r="H110" s="1"/>
  <c r="G79"/>
  <c r="G96" s="1"/>
  <c r="G109" s="1"/>
  <c r="G110" s="1"/>
  <c r="F79"/>
  <c r="F96" s="1"/>
  <c r="F109" s="1"/>
  <c r="E79"/>
  <c r="E96" s="1"/>
  <c r="D79"/>
  <c r="D96" s="1"/>
  <c r="D109" s="1"/>
  <c r="D110" s="1"/>
  <c r="C79"/>
  <c r="C96" s="1"/>
  <c r="C109" s="1"/>
  <c r="C110" s="1"/>
  <c r="B79"/>
  <c r="B96" s="1"/>
  <c r="B109" s="1"/>
  <c r="T78"/>
  <c r="S78"/>
  <c r="R78"/>
  <c r="Q78"/>
  <c r="U78" s="1"/>
  <c r="M78"/>
  <c r="I78"/>
  <c r="E78"/>
  <c r="T77"/>
  <c r="S77"/>
  <c r="R77"/>
  <c r="Q77"/>
  <c r="U77" s="1"/>
  <c r="M77"/>
  <c r="I77"/>
  <c r="E77"/>
  <c r="B77"/>
  <c r="T76"/>
  <c r="S76"/>
  <c r="R76"/>
  <c r="Q76"/>
  <c r="U76" s="1"/>
  <c r="M76"/>
  <c r="I76"/>
  <c r="E76"/>
  <c r="T75"/>
  <c r="S75"/>
  <c r="R75"/>
  <c r="Q75"/>
  <c r="U75" s="1"/>
  <c r="N75"/>
  <c r="M75"/>
  <c r="K75"/>
  <c r="I75"/>
  <c r="E75"/>
  <c r="T74"/>
  <c r="S74"/>
  <c r="R74"/>
  <c r="Q74"/>
  <c r="U74" s="1"/>
  <c r="M74"/>
  <c r="L74"/>
  <c r="K74"/>
  <c r="I74"/>
  <c r="E74"/>
  <c r="T73"/>
  <c r="S73"/>
  <c r="R73"/>
  <c r="Q73"/>
  <c r="U73" s="1"/>
  <c r="M73"/>
  <c r="I73"/>
  <c r="E73"/>
  <c r="T72"/>
  <c r="S72"/>
  <c r="R72"/>
  <c r="Q72"/>
  <c r="U72" s="1"/>
  <c r="N72"/>
  <c r="M72"/>
  <c r="L72"/>
  <c r="K72"/>
  <c r="I72"/>
  <c r="E72"/>
  <c r="T71"/>
  <c r="S71"/>
  <c r="R71"/>
  <c r="Q71"/>
  <c r="U71" s="1"/>
  <c r="M71"/>
  <c r="I71"/>
  <c r="E71"/>
  <c r="C71"/>
  <c r="T70"/>
  <c r="S70"/>
  <c r="R70"/>
  <c r="Q70"/>
  <c r="U70" s="1"/>
  <c r="M70"/>
  <c r="I70"/>
  <c r="E70"/>
  <c r="T69"/>
  <c r="S69"/>
  <c r="R69"/>
  <c r="Q69"/>
  <c r="U69" s="1"/>
  <c r="N69"/>
  <c r="M69"/>
  <c r="L69"/>
  <c r="K69"/>
  <c r="J69"/>
  <c r="I69"/>
  <c r="H69"/>
  <c r="G69"/>
  <c r="E69"/>
  <c r="D69"/>
  <c r="C69"/>
  <c r="B69"/>
  <c r="T68"/>
  <c r="S68"/>
  <c r="R68"/>
  <c r="Q68"/>
  <c r="U68" s="1"/>
  <c r="N68"/>
  <c r="M68"/>
  <c r="L68"/>
  <c r="K68"/>
  <c r="J68"/>
  <c r="I68"/>
  <c r="H68"/>
  <c r="G68"/>
  <c r="E68"/>
  <c r="D68"/>
  <c r="C68"/>
  <c r="B68"/>
  <c r="T67"/>
  <c r="S67"/>
  <c r="R67"/>
  <c r="Q67"/>
  <c r="U67" s="1"/>
  <c r="M67"/>
  <c r="I67"/>
  <c r="E67"/>
  <c r="T66"/>
  <c r="S66"/>
  <c r="R66"/>
  <c r="Q66"/>
  <c r="U66" s="1"/>
  <c r="M66"/>
  <c r="I66"/>
  <c r="E66"/>
  <c r="T65"/>
  <c r="S65"/>
  <c r="R65"/>
  <c r="Q65"/>
  <c r="U65" s="1"/>
  <c r="M65"/>
  <c r="K65"/>
  <c r="I65"/>
  <c r="E65"/>
  <c r="C65"/>
  <c r="T64"/>
  <c r="S64"/>
  <c r="R64"/>
  <c r="Q64"/>
  <c r="U64" s="1"/>
  <c r="N64"/>
  <c r="M64"/>
  <c r="L64"/>
  <c r="K64"/>
  <c r="J64"/>
  <c r="I64"/>
  <c r="H64"/>
  <c r="F64"/>
  <c r="E64"/>
  <c r="D64"/>
  <c r="C64"/>
  <c r="B64"/>
  <c r="T63"/>
  <c r="S63"/>
  <c r="R63"/>
  <c r="Q63"/>
  <c r="U63" s="1"/>
  <c r="N63"/>
  <c r="M63"/>
  <c r="K63"/>
  <c r="I63"/>
  <c r="E63"/>
  <c r="D63"/>
  <c r="T62"/>
  <c r="S62"/>
  <c r="R62"/>
  <c r="Q62"/>
  <c r="N62"/>
  <c r="M62"/>
  <c r="L62"/>
  <c r="K62"/>
  <c r="J62"/>
  <c r="I62"/>
  <c r="H62"/>
  <c r="G62"/>
  <c r="F62"/>
  <c r="E62"/>
  <c r="D62"/>
  <c r="C62"/>
  <c r="B62"/>
  <c r="V61"/>
  <c r="T61"/>
  <c r="S61"/>
  <c r="R61"/>
  <c r="P61"/>
  <c r="N61"/>
  <c r="M61"/>
  <c r="L61"/>
  <c r="K61"/>
  <c r="J61"/>
  <c r="I61"/>
  <c r="H61"/>
  <c r="G61"/>
  <c r="F61"/>
  <c r="E61"/>
  <c r="D61"/>
  <c r="C61"/>
  <c r="B61"/>
  <c r="T60"/>
  <c r="S60"/>
  <c r="R60"/>
  <c r="Q60"/>
  <c r="U60" s="1"/>
  <c r="M60"/>
  <c r="K60"/>
  <c r="I60"/>
  <c r="E60"/>
  <c r="T59"/>
  <c r="S59"/>
  <c r="R59"/>
  <c r="Q59"/>
  <c r="U59" s="1"/>
  <c r="N59"/>
  <c r="M59"/>
  <c r="I59"/>
  <c r="F59"/>
  <c r="E59"/>
  <c r="D59"/>
  <c r="C59"/>
  <c r="B59"/>
  <c r="V58"/>
  <c r="T58"/>
  <c r="S58"/>
  <c r="R58"/>
  <c r="Q58"/>
  <c r="U58" s="1"/>
  <c r="N58"/>
  <c r="M58"/>
  <c r="L58"/>
  <c r="K58"/>
  <c r="J58"/>
  <c r="I58"/>
  <c r="H58"/>
  <c r="G58"/>
  <c r="F58"/>
  <c r="E58"/>
  <c r="D58"/>
  <c r="C58"/>
  <c r="B58"/>
  <c r="T57"/>
  <c r="S57"/>
  <c r="R57"/>
  <c r="Q57"/>
  <c r="U57" s="1"/>
  <c r="N57"/>
  <c r="M57"/>
  <c r="K57"/>
  <c r="J57"/>
  <c r="I57"/>
  <c r="H57"/>
  <c r="G57"/>
  <c r="F57"/>
  <c r="E57"/>
  <c r="D57"/>
  <c r="C57"/>
  <c r="B57"/>
  <c r="V56"/>
  <c r="T56"/>
  <c r="S56"/>
  <c r="R56"/>
  <c r="P56"/>
  <c r="N56"/>
  <c r="M56"/>
  <c r="L56"/>
  <c r="K56"/>
  <c r="J56"/>
  <c r="I56"/>
  <c r="H56"/>
  <c r="G56"/>
  <c r="F56"/>
  <c r="E56"/>
  <c r="D56"/>
  <c r="C56"/>
  <c r="B56"/>
  <c r="T53"/>
  <c r="S53"/>
  <c r="R53"/>
  <c r="Q53"/>
  <c r="U53" s="1"/>
  <c r="M53"/>
  <c r="K53"/>
  <c r="I53"/>
  <c r="E53"/>
  <c r="T52"/>
  <c r="S52"/>
  <c r="R52"/>
  <c r="Q52"/>
  <c r="U52" s="1"/>
  <c r="M52"/>
  <c r="L52"/>
  <c r="I52"/>
  <c r="E52"/>
  <c r="T51"/>
  <c r="S51"/>
  <c r="R51"/>
  <c r="Q51"/>
  <c r="U51" s="1"/>
  <c r="M51"/>
  <c r="L51"/>
  <c r="K51"/>
  <c r="I51"/>
  <c r="E51"/>
  <c r="B51"/>
  <c r="T50"/>
  <c r="S50"/>
  <c r="R50"/>
  <c r="Q50"/>
  <c r="U50" s="1"/>
  <c r="M50"/>
  <c r="I50"/>
  <c r="E50"/>
  <c r="T49"/>
  <c r="S49"/>
  <c r="R49"/>
  <c r="Q49"/>
  <c r="U49" s="1"/>
  <c r="M49"/>
  <c r="I49"/>
  <c r="E49"/>
  <c r="T48"/>
  <c r="S48"/>
  <c r="R48"/>
  <c r="Q48"/>
  <c r="U48" s="1"/>
  <c r="M48"/>
  <c r="K48"/>
  <c r="I48"/>
  <c r="E48"/>
  <c r="T47"/>
  <c r="S47"/>
  <c r="R47"/>
  <c r="Q47"/>
  <c r="U47" s="1"/>
  <c r="M47"/>
  <c r="I47"/>
  <c r="E47"/>
  <c r="T46"/>
  <c r="S46"/>
  <c r="R46"/>
  <c r="Q46"/>
  <c r="U46" s="1"/>
  <c r="N46"/>
  <c r="M46"/>
  <c r="L46"/>
  <c r="K46"/>
  <c r="I46"/>
  <c r="E46"/>
  <c r="C46"/>
  <c r="T45"/>
  <c r="S45"/>
  <c r="R45"/>
  <c r="Q45"/>
  <c r="U45" s="1"/>
  <c r="M45"/>
  <c r="I45"/>
  <c r="E45"/>
  <c r="T44"/>
  <c r="S44"/>
  <c r="R44"/>
  <c r="Q44"/>
  <c r="U44" s="1"/>
  <c r="M44"/>
  <c r="L44"/>
  <c r="K44"/>
  <c r="J44"/>
  <c r="I44"/>
  <c r="G44"/>
  <c r="F44"/>
  <c r="E44"/>
  <c r="C44"/>
  <c r="B44"/>
  <c r="T43"/>
  <c r="S43"/>
  <c r="R43"/>
  <c r="Q43"/>
  <c r="U43" s="1"/>
  <c r="M43"/>
  <c r="I43"/>
  <c r="E43"/>
  <c r="T42"/>
  <c r="S42"/>
  <c r="R42"/>
  <c r="Q42"/>
  <c r="U42" s="1"/>
  <c r="M42"/>
  <c r="K42"/>
  <c r="I42"/>
  <c r="E42"/>
  <c r="T41"/>
  <c r="S41"/>
  <c r="R41"/>
  <c r="Q41"/>
  <c r="U41" s="1"/>
  <c r="M41"/>
  <c r="I41"/>
  <c r="E41"/>
  <c r="T40"/>
  <c r="S40"/>
  <c r="R40"/>
  <c r="Q40"/>
  <c r="U40" s="1"/>
  <c r="M40"/>
  <c r="J40"/>
  <c r="I40"/>
  <c r="G40"/>
  <c r="E40"/>
  <c r="C40"/>
  <c r="B40"/>
  <c r="T39"/>
  <c r="S39"/>
  <c r="R39"/>
  <c r="Q39"/>
  <c r="U39" s="1"/>
  <c r="M39"/>
  <c r="K39"/>
  <c r="J39"/>
  <c r="I39"/>
  <c r="H39"/>
  <c r="G39"/>
  <c r="E39"/>
  <c r="C39"/>
  <c r="B39"/>
  <c r="T38"/>
  <c r="S38"/>
  <c r="R38"/>
  <c r="Q38"/>
  <c r="U38" s="1"/>
  <c r="M38"/>
  <c r="I38"/>
  <c r="E38"/>
  <c r="T37"/>
  <c r="S37"/>
  <c r="R37"/>
  <c r="Q37"/>
  <c r="U37" s="1"/>
  <c r="N37"/>
  <c r="M37"/>
  <c r="I37"/>
  <c r="E37"/>
  <c r="C37"/>
  <c r="B37"/>
  <c r="T36"/>
  <c r="S36"/>
  <c r="R36"/>
  <c r="Q36"/>
  <c r="U36" s="1"/>
  <c r="M36"/>
  <c r="I36"/>
  <c r="E36"/>
  <c r="T35"/>
  <c r="S35"/>
  <c r="R35"/>
  <c r="Q35"/>
  <c r="U35" s="1"/>
  <c r="M35"/>
  <c r="I35"/>
  <c r="E35"/>
  <c r="T34"/>
  <c r="S34"/>
  <c r="R34"/>
  <c r="Q34"/>
  <c r="U34" s="1"/>
  <c r="M34"/>
  <c r="I34"/>
  <c r="E34"/>
  <c r="T33"/>
  <c r="S33"/>
  <c r="R33"/>
  <c r="Q33"/>
  <c r="U33" s="1"/>
  <c r="M33"/>
  <c r="I33"/>
  <c r="E33"/>
  <c r="T32"/>
  <c r="S32"/>
  <c r="R32"/>
  <c r="Q32"/>
  <c r="U32" s="1"/>
  <c r="M32"/>
  <c r="I32"/>
  <c r="E32"/>
  <c r="C32"/>
  <c r="V31"/>
  <c r="T31"/>
  <c r="S31"/>
  <c r="R31"/>
  <c r="Q31"/>
  <c r="U31" s="1"/>
  <c r="M31"/>
  <c r="I31"/>
  <c r="E31"/>
  <c r="T30"/>
  <c r="S30"/>
  <c r="R30"/>
  <c r="Q30"/>
  <c r="U30" s="1"/>
  <c r="M30"/>
  <c r="I30"/>
  <c r="E30"/>
  <c r="T29"/>
  <c r="S29"/>
  <c r="R29"/>
  <c r="Q29"/>
  <c r="U29" s="1"/>
  <c r="M29"/>
  <c r="L29"/>
  <c r="I29"/>
  <c r="E29"/>
  <c r="C29"/>
  <c r="B29"/>
  <c r="T28"/>
  <c r="S28"/>
  <c r="R28"/>
  <c r="Q28"/>
  <c r="N28"/>
  <c r="M28"/>
  <c r="J28"/>
  <c r="I28"/>
  <c r="E28"/>
  <c r="V27"/>
  <c r="T27"/>
  <c r="S27"/>
  <c r="R27"/>
  <c r="P27"/>
  <c r="N27"/>
  <c r="M27"/>
  <c r="L27"/>
  <c r="K27"/>
  <c r="J27"/>
  <c r="I27"/>
  <c r="H27"/>
  <c r="G27"/>
  <c r="F27"/>
  <c r="E27"/>
  <c r="D27"/>
  <c r="C27"/>
  <c r="B27"/>
  <c r="V25"/>
  <c r="L25"/>
  <c r="L107" s="1"/>
  <c r="G25"/>
  <c r="G107" s="1"/>
  <c r="B25"/>
  <c r="B107" s="1"/>
  <c r="U24"/>
  <c r="T24"/>
  <c r="S24"/>
  <c r="R24"/>
  <c r="Q24"/>
  <c r="N24"/>
  <c r="M24"/>
  <c r="L24"/>
  <c r="K24"/>
  <c r="J24"/>
  <c r="I24"/>
  <c r="H24"/>
  <c r="G24"/>
  <c r="F24"/>
  <c r="E24"/>
  <c r="D24"/>
  <c r="C24"/>
  <c r="B24"/>
  <c r="U23"/>
  <c r="T23"/>
  <c r="S23"/>
  <c r="R23"/>
  <c r="Q23"/>
  <c r="P23"/>
  <c r="N23"/>
  <c r="M23"/>
  <c r="L23"/>
  <c r="K23"/>
  <c r="J23"/>
  <c r="I23"/>
  <c r="H23"/>
  <c r="G23"/>
  <c r="F23"/>
  <c r="E23"/>
  <c r="D23"/>
  <c r="C23"/>
  <c r="U22"/>
  <c r="T22"/>
  <c r="S22"/>
  <c r="R22"/>
  <c r="Q22"/>
  <c r="P22"/>
  <c r="N22"/>
  <c r="M22"/>
  <c r="L22"/>
  <c r="K22"/>
  <c r="J22"/>
  <c r="I22"/>
  <c r="H22"/>
  <c r="G22"/>
  <c r="F22"/>
  <c r="E22"/>
  <c r="D22"/>
  <c r="C22"/>
  <c r="B22"/>
  <c r="U21"/>
  <c r="T21"/>
  <c r="S21"/>
  <c r="R21"/>
  <c r="Q21"/>
  <c r="P21"/>
  <c r="N21"/>
  <c r="M21"/>
  <c r="L21"/>
  <c r="K21"/>
  <c r="J21"/>
  <c r="I21"/>
  <c r="H21"/>
  <c r="G21"/>
  <c r="F21"/>
  <c r="E21"/>
  <c r="D21"/>
  <c r="C21"/>
  <c r="B21"/>
  <c r="U20"/>
  <c r="T20"/>
  <c r="S20"/>
  <c r="R20"/>
  <c r="Q20"/>
  <c r="P20"/>
  <c r="N20"/>
  <c r="M20"/>
  <c r="L20"/>
  <c r="K20"/>
  <c r="J20"/>
  <c r="I20"/>
  <c r="H20"/>
  <c r="G20"/>
  <c r="F20"/>
  <c r="E20"/>
  <c r="D20"/>
  <c r="C20"/>
  <c r="B20"/>
  <c r="V19"/>
  <c r="P19"/>
  <c r="N19"/>
  <c r="N25" s="1"/>
  <c r="N107" s="1"/>
  <c r="L19"/>
  <c r="K19"/>
  <c r="K25" s="1"/>
  <c r="K107" s="1"/>
  <c r="J19"/>
  <c r="J25" s="1"/>
  <c r="J107" s="1"/>
  <c r="H19"/>
  <c r="H25" s="1"/>
  <c r="H107" s="1"/>
  <c r="G19"/>
  <c r="F19"/>
  <c r="F25" s="1"/>
  <c r="F107" s="1"/>
  <c r="D19"/>
  <c r="D25" s="1"/>
  <c r="D107" s="1"/>
  <c r="C19"/>
  <c r="C25" s="1"/>
  <c r="C107" s="1"/>
  <c r="B19"/>
  <c r="Q18"/>
  <c r="N18"/>
  <c r="M18"/>
  <c r="L18"/>
  <c r="K18"/>
  <c r="J18"/>
  <c r="I18"/>
  <c r="H18"/>
  <c r="G18"/>
  <c r="F18"/>
  <c r="E18"/>
  <c r="T18" s="1"/>
  <c r="D18"/>
  <c r="C18"/>
  <c r="B18"/>
  <c r="Q17"/>
  <c r="N17"/>
  <c r="M17"/>
  <c r="L17"/>
  <c r="K17"/>
  <c r="J17"/>
  <c r="I17"/>
  <c r="H17"/>
  <c r="G17"/>
  <c r="F17"/>
  <c r="E17"/>
  <c r="T17" s="1"/>
  <c r="C17"/>
  <c r="B17"/>
  <c r="Q16"/>
  <c r="N16"/>
  <c r="M16"/>
  <c r="L16"/>
  <c r="K16"/>
  <c r="J16"/>
  <c r="I16"/>
  <c r="H16"/>
  <c r="G16"/>
  <c r="F16"/>
  <c r="E16"/>
  <c r="T16" s="1"/>
  <c r="D16"/>
  <c r="C16"/>
  <c r="B16"/>
  <c r="T15"/>
  <c r="R15"/>
  <c r="Q15"/>
  <c r="U15" s="1"/>
  <c r="N15"/>
  <c r="M15"/>
  <c r="L15"/>
  <c r="K15"/>
  <c r="J15"/>
  <c r="I15"/>
  <c r="H15"/>
  <c r="G15"/>
  <c r="F15"/>
  <c r="E15"/>
  <c r="S15" s="1"/>
  <c r="D15"/>
  <c r="C15"/>
  <c r="B15"/>
  <c r="Q14"/>
  <c r="U14" s="1"/>
  <c r="M14"/>
  <c r="I14"/>
  <c r="E14"/>
  <c r="S14" s="1"/>
  <c r="Q12"/>
  <c r="M12"/>
  <c r="T12" s="1"/>
  <c r="I12"/>
  <c r="E12"/>
  <c r="R12" s="1"/>
  <c r="Q11"/>
  <c r="M11"/>
  <c r="I11"/>
  <c r="T11" s="1"/>
  <c r="E11"/>
  <c r="R11" s="1"/>
  <c r="Q10"/>
  <c r="M10"/>
  <c r="I10"/>
  <c r="E10"/>
  <c r="T10" s="1"/>
  <c r="Q9"/>
  <c r="M9"/>
  <c r="I9"/>
  <c r="F9"/>
  <c r="E9"/>
  <c r="S9" s="1"/>
  <c r="R8"/>
  <c r="Q8"/>
  <c r="U8" s="1"/>
  <c r="N8"/>
  <c r="M8"/>
  <c r="L8"/>
  <c r="K8"/>
  <c r="J8"/>
  <c r="I8"/>
  <c r="H8"/>
  <c r="F8"/>
  <c r="E8"/>
  <c r="E19" s="1"/>
  <c r="E25" s="1"/>
  <c r="E107" s="1"/>
  <c r="D8"/>
  <c r="C8"/>
  <c r="B8"/>
  <c r="R7"/>
  <c r="Q7"/>
  <c r="U7" s="1"/>
  <c r="N7"/>
  <c r="M7"/>
  <c r="M19" s="1"/>
  <c r="M25" s="1"/>
  <c r="M107" s="1"/>
  <c r="L7"/>
  <c r="K7"/>
  <c r="J7"/>
  <c r="I7"/>
  <c r="I19" s="1"/>
  <c r="I25" s="1"/>
  <c r="I107" s="1"/>
  <c r="H7"/>
  <c r="G7"/>
  <c r="F7"/>
  <c r="E7"/>
  <c r="D7"/>
  <c r="C7"/>
  <c r="B7"/>
  <c r="T6"/>
  <c r="S6"/>
  <c r="R6"/>
  <c r="Q6"/>
  <c r="U6" s="1"/>
  <c r="M6"/>
  <c r="I6"/>
  <c r="E6"/>
  <c r="D6"/>
  <c r="G4"/>
  <c r="F4"/>
  <c r="E4"/>
  <c r="D4"/>
  <c r="B4"/>
  <c r="M3"/>
  <c r="H3"/>
  <c r="B3"/>
  <c r="V2"/>
  <c r="U2"/>
  <c r="T2"/>
  <c r="S2"/>
  <c r="P2"/>
  <c r="M2"/>
  <c r="L2"/>
  <c r="K2"/>
  <c r="J2"/>
  <c r="H2"/>
  <c r="E2"/>
  <c r="B2"/>
  <c r="S1"/>
  <c r="M1"/>
  <c r="I1"/>
  <c r="H1"/>
  <c r="E1"/>
  <c r="B1"/>
  <c r="K21" i="20"/>
  <c r="K19"/>
  <c r="K16"/>
  <c r="A15"/>
  <c r="A12"/>
  <c r="A11"/>
  <c r="A9"/>
  <c r="A8"/>
  <c r="A7"/>
  <c r="A6"/>
  <c r="A5"/>
  <c r="C2"/>
  <c r="A2"/>
  <c r="A1"/>
  <c r="B137" i="1"/>
  <c r="B132"/>
  <c r="E129"/>
  <c r="E130" s="1"/>
  <c r="E131" s="1"/>
  <c r="E132" s="1"/>
  <c r="E133" s="1"/>
  <c r="E134" s="1"/>
  <c r="E135" s="1"/>
  <c r="E136" s="1"/>
  <c r="C124"/>
  <c r="C123"/>
  <c r="I119"/>
  <c r="E117"/>
  <c r="P110"/>
  <c r="C107" i="12" s="1"/>
  <c r="O110" i="1"/>
  <c r="M110"/>
  <c r="I108" i="2" s="1"/>
  <c r="L110" i="1"/>
  <c r="C107" i="10" s="1"/>
  <c r="K110" i="1"/>
  <c r="H110"/>
  <c r="C107" i="6" s="1"/>
  <c r="C110" i="5"/>
  <c r="D110" s="1"/>
  <c r="R107" i="1"/>
  <c r="N107"/>
  <c r="U107" s="1"/>
  <c r="D104" i="11" s="1"/>
  <c r="J107" i="1"/>
  <c r="T107" s="1"/>
  <c r="D105" i="7" s="1"/>
  <c r="F107" i="1"/>
  <c r="R106"/>
  <c r="N106"/>
  <c r="U106" s="1"/>
  <c r="D103" i="11" s="1"/>
  <c r="J106" i="1"/>
  <c r="F106"/>
  <c r="T105"/>
  <c r="D103" i="7" s="1"/>
  <c r="R105" i="1"/>
  <c r="N105"/>
  <c r="U105" s="1"/>
  <c r="D102" i="11" s="1"/>
  <c r="J105" i="1"/>
  <c r="F105"/>
  <c r="R104"/>
  <c r="N104"/>
  <c r="U104" s="1"/>
  <c r="D101" i="11" s="1"/>
  <c r="J104" i="1"/>
  <c r="T104" s="1"/>
  <c r="D102" i="7" s="1"/>
  <c r="F104" i="1"/>
  <c r="R103"/>
  <c r="N103"/>
  <c r="U103" s="1"/>
  <c r="D100" i="11" s="1"/>
  <c r="J103" i="1"/>
  <c r="T103" s="1"/>
  <c r="D101" i="7" s="1"/>
  <c r="F103" i="1"/>
  <c r="C103" i="5"/>
  <c r="D103" s="1"/>
  <c r="T102" i="1"/>
  <c r="D100" i="7" s="1"/>
  <c r="N102" i="1"/>
  <c r="U102" s="1"/>
  <c r="D99" i="11" s="1"/>
  <c r="J102" i="1"/>
  <c r="F102"/>
  <c r="T101"/>
  <c r="D99" i="7" s="1"/>
  <c r="H99" s="1"/>
  <c r="R101" i="1"/>
  <c r="N101"/>
  <c r="U101" s="1"/>
  <c r="D98" i="11" s="1"/>
  <c r="J101" i="1"/>
  <c r="F101"/>
  <c r="R100"/>
  <c r="N100"/>
  <c r="J100"/>
  <c r="T100" s="1"/>
  <c r="D98" i="7" s="1"/>
  <c r="H98" s="1"/>
  <c r="F100" i="1"/>
  <c r="P99"/>
  <c r="C96" i="12" s="1"/>
  <c r="O99" i="1"/>
  <c r="M99"/>
  <c r="I97" i="2" s="1"/>
  <c r="L99" i="1"/>
  <c r="C96" i="10" s="1"/>
  <c r="D96" s="1"/>
  <c r="K99" i="1"/>
  <c r="C96" i="9" s="1"/>
  <c r="I99" i="1"/>
  <c r="H99"/>
  <c r="C96" i="6" s="1"/>
  <c r="D96" s="1"/>
  <c r="G99" i="1"/>
  <c r="E99"/>
  <c r="N96"/>
  <c r="J94"/>
  <c r="R95"/>
  <c r="N95"/>
  <c r="F95"/>
  <c r="P94"/>
  <c r="C91" i="13" s="1"/>
  <c r="O94" i="1"/>
  <c r="M94"/>
  <c r="I92" i="2" s="1"/>
  <c r="L94" i="1"/>
  <c r="C91" i="10" s="1"/>
  <c r="K94" i="1"/>
  <c r="C91" i="9" s="1"/>
  <c r="I94" i="1"/>
  <c r="H94"/>
  <c r="C91" i="6" s="1"/>
  <c r="G94" i="1"/>
  <c r="E94"/>
  <c r="D94"/>
  <c r="C94" i="5" s="1"/>
  <c r="D94" s="1"/>
  <c r="C94" i="1"/>
  <c r="R92"/>
  <c r="N92"/>
  <c r="J92"/>
  <c r="F92"/>
  <c r="R91"/>
  <c r="N91"/>
  <c r="J91"/>
  <c r="F91"/>
  <c r="R90"/>
  <c r="N90"/>
  <c r="N89" s="1"/>
  <c r="J90"/>
  <c r="F90"/>
  <c r="B3" i="16" s="1"/>
  <c r="W89" i="1"/>
  <c r="C95" i="14"/>
  <c r="P89" i="1"/>
  <c r="C86" i="13" s="1"/>
  <c r="O89" i="1"/>
  <c r="M89"/>
  <c r="I87" i="2" s="1"/>
  <c r="L89" i="1"/>
  <c r="C86" i="10" s="1"/>
  <c r="K89" i="1"/>
  <c r="C86" i="9" s="1"/>
  <c r="I89" i="1"/>
  <c r="H89"/>
  <c r="C86" i="6" s="1"/>
  <c r="G89" i="1"/>
  <c r="E89"/>
  <c r="C89" i="3" s="1"/>
  <c r="D89" i="1"/>
  <c r="C89" i="5" s="1"/>
  <c r="D89" s="1"/>
  <c r="C89" i="1"/>
  <c r="R86"/>
  <c r="N86"/>
  <c r="J86"/>
  <c r="R85"/>
  <c r="N85"/>
  <c r="J85"/>
  <c r="F85"/>
  <c r="R84"/>
  <c r="N84"/>
  <c r="J84"/>
  <c r="F84"/>
  <c r="R83"/>
  <c r="N83"/>
  <c r="J83"/>
  <c r="F83"/>
  <c r="R82"/>
  <c r="N82"/>
  <c r="J82"/>
  <c r="F82"/>
  <c r="W81"/>
  <c r="P81"/>
  <c r="O81"/>
  <c r="M81"/>
  <c r="I79" i="2" s="1"/>
  <c r="L81" i="1"/>
  <c r="C78" i="10" s="1"/>
  <c r="K81" i="1"/>
  <c r="C78" i="9" s="1"/>
  <c r="I81" i="1"/>
  <c r="H81"/>
  <c r="G81"/>
  <c r="C81" i="4" s="1"/>
  <c r="E81" i="1"/>
  <c r="C81" i="3" s="1"/>
  <c r="C81" i="1"/>
  <c r="R79"/>
  <c r="N79"/>
  <c r="J79"/>
  <c r="F79"/>
  <c r="R78"/>
  <c r="N78"/>
  <c r="J78"/>
  <c r="F78"/>
  <c r="N77"/>
  <c r="J77"/>
  <c r="F77"/>
  <c r="R76"/>
  <c r="N76"/>
  <c r="J76"/>
  <c r="F76"/>
  <c r="R75"/>
  <c r="N75"/>
  <c r="J75"/>
  <c r="F75"/>
  <c r="R74"/>
  <c r="N74"/>
  <c r="J74"/>
  <c r="F74"/>
  <c r="R73"/>
  <c r="N73"/>
  <c r="J73"/>
  <c r="F73"/>
  <c r="R72"/>
  <c r="N72"/>
  <c r="J72"/>
  <c r="F72"/>
  <c r="R71"/>
  <c r="N71"/>
  <c r="J71"/>
  <c r="F71"/>
  <c r="R70"/>
  <c r="N70"/>
  <c r="J70"/>
  <c r="F70"/>
  <c r="R69"/>
  <c r="N69"/>
  <c r="J69"/>
  <c r="F69"/>
  <c r="R68"/>
  <c r="N68"/>
  <c r="J68"/>
  <c r="F68"/>
  <c r="R67"/>
  <c r="N67"/>
  <c r="J67"/>
  <c r="F67"/>
  <c r="R66"/>
  <c r="N66"/>
  <c r="J66"/>
  <c r="F66"/>
  <c r="C66" i="2" s="1"/>
  <c r="R65" i="1"/>
  <c r="N65"/>
  <c r="J65"/>
  <c r="F65"/>
  <c r="R64"/>
  <c r="N64"/>
  <c r="J64"/>
  <c r="F64"/>
  <c r="C60" i="12"/>
  <c r="C60" i="10"/>
  <c r="C60" i="9"/>
  <c r="H62" i="1"/>
  <c r="C60" i="6" s="1"/>
  <c r="G62" i="1"/>
  <c r="E62"/>
  <c r="C62" i="3" s="1"/>
  <c r="D62" i="1"/>
  <c r="C62" i="5" s="1"/>
  <c r="D62" s="1"/>
  <c r="C62" i="1"/>
  <c r="R61"/>
  <c r="N61"/>
  <c r="J61"/>
  <c r="F61"/>
  <c r="R60"/>
  <c r="N60"/>
  <c r="J60"/>
  <c r="F60"/>
  <c r="R59"/>
  <c r="N59"/>
  <c r="J59"/>
  <c r="F59"/>
  <c r="R58"/>
  <c r="N58"/>
  <c r="J58"/>
  <c r="J57" s="1"/>
  <c r="F58"/>
  <c r="W57"/>
  <c r="P57"/>
  <c r="C55" i="13" s="1"/>
  <c r="O57" i="1"/>
  <c r="M57"/>
  <c r="I56" i="2" s="1"/>
  <c r="L57" i="1"/>
  <c r="C55" i="10" s="1"/>
  <c r="K57" i="1"/>
  <c r="C55" i="9" s="1"/>
  <c r="I57" i="1"/>
  <c r="H57"/>
  <c r="C55" i="6" s="1"/>
  <c r="G57" i="1"/>
  <c r="C57" i="4" s="1"/>
  <c r="E57" i="1"/>
  <c r="C57" i="3" s="1"/>
  <c r="D57" i="1"/>
  <c r="C57" i="5" s="1"/>
  <c r="D57" s="1"/>
  <c r="C57" i="1"/>
  <c r="R54"/>
  <c r="N54"/>
  <c r="J54"/>
  <c r="F54"/>
  <c r="S54" s="1"/>
  <c r="R53"/>
  <c r="N53"/>
  <c r="J53"/>
  <c r="F53"/>
  <c r="R52"/>
  <c r="N52"/>
  <c r="J52"/>
  <c r="F52"/>
  <c r="R51"/>
  <c r="N51"/>
  <c r="J51"/>
  <c r="F51"/>
  <c r="R50"/>
  <c r="N50"/>
  <c r="J50"/>
  <c r="F50"/>
  <c r="R49"/>
  <c r="N49"/>
  <c r="J49"/>
  <c r="F49"/>
  <c r="R48"/>
  <c r="N48"/>
  <c r="J48"/>
  <c r="F48"/>
  <c r="R47"/>
  <c r="N47"/>
  <c r="J47"/>
  <c r="F47"/>
  <c r="R46"/>
  <c r="N46"/>
  <c r="J46"/>
  <c r="F46"/>
  <c r="R45"/>
  <c r="N45"/>
  <c r="F45"/>
  <c r="R44"/>
  <c r="N44"/>
  <c r="J44"/>
  <c r="F44"/>
  <c r="R43"/>
  <c r="N43"/>
  <c r="J43"/>
  <c r="F43"/>
  <c r="R42"/>
  <c r="N42"/>
  <c r="J42"/>
  <c r="F42"/>
  <c r="R41"/>
  <c r="N41"/>
  <c r="J41"/>
  <c r="F41"/>
  <c r="R40"/>
  <c r="N40"/>
  <c r="J40"/>
  <c r="F40"/>
  <c r="R39"/>
  <c r="N39"/>
  <c r="J39"/>
  <c r="F39"/>
  <c r="C39" i="2" s="1"/>
  <c r="R38" i="1"/>
  <c r="N38"/>
  <c r="J38"/>
  <c r="F38"/>
  <c r="R37"/>
  <c r="N37"/>
  <c r="J37"/>
  <c r="F37"/>
  <c r="R36"/>
  <c r="N36"/>
  <c r="J36"/>
  <c r="F36"/>
  <c r="S36" s="1"/>
  <c r="R35"/>
  <c r="N35"/>
  <c r="J35"/>
  <c r="F35"/>
  <c r="R34"/>
  <c r="N34"/>
  <c r="J34"/>
  <c r="F34"/>
  <c r="R33"/>
  <c r="N33"/>
  <c r="J33"/>
  <c r="F33"/>
  <c r="R31"/>
  <c r="N31"/>
  <c r="J31"/>
  <c r="F31"/>
  <c r="R30"/>
  <c r="N30"/>
  <c r="J30"/>
  <c r="F30"/>
  <c r="R29"/>
  <c r="N29"/>
  <c r="J29"/>
  <c r="F29"/>
  <c r="R28"/>
  <c r="N28"/>
  <c r="J28"/>
  <c r="F28"/>
  <c r="W27"/>
  <c r="P27"/>
  <c r="C26" i="13" s="1"/>
  <c r="O27" i="1"/>
  <c r="M27"/>
  <c r="L27"/>
  <c r="C26" i="10" s="1"/>
  <c r="K27" i="1"/>
  <c r="C26" i="9" s="1"/>
  <c r="I27" i="1"/>
  <c r="H27"/>
  <c r="C26" i="6" s="1"/>
  <c r="E27" i="1"/>
  <c r="C27" i="3" s="1"/>
  <c r="D27" i="1"/>
  <c r="C27" i="5" s="1"/>
  <c r="D27" s="1"/>
  <c r="C27" i="1"/>
  <c r="C24" i="5"/>
  <c r="C24" i="1"/>
  <c r="V23"/>
  <c r="D22" i="14" s="1"/>
  <c r="U23" i="1"/>
  <c r="D22" i="11" s="1"/>
  <c r="T23" i="1"/>
  <c r="D22" i="7" s="1"/>
  <c r="I22" s="1"/>
  <c r="I26" s="1"/>
  <c r="S23" i="1"/>
  <c r="P23"/>
  <c r="C22" i="12" s="1"/>
  <c r="M23" i="1"/>
  <c r="I23" i="2" s="1"/>
  <c r="L23" i="1"/>
  <c r="C22" i="10" s="1"/>
  <c r="I23" i="1"/>
  <c r="H23"/>
  <c r="G23"/>
  <c r="F23"/>
  <c r="V22"/>
  <c r="D21" i="14" s="1"/>
  <c r="U22" i="1"/>
  <c r="D21" i="11" s="1"/>
  <c r="T22" i="1"/>
  <c r="D21" i="7" s="1"/>
  <c r="S22" i="1"/>
  <c r="P22"/>
  <c r="C21" i="12" s="1"/>
  <c r="M22" i="1"/>
  <c r="I22" i="2" s="1"/>
  <c r="L22" i="1"/>
  <c r="C21" i="10" s="1"/>
  <c r="I22" i="1"/>
  <c r="H22"/>
  <c r="G22"/>
  <c r="F22"/>
  <c r="V21"/>
  <c r="U21"/>
  <c r="D20" i="11" s="1"/>
  <c r="T21" i="1"/>
  <c r="D20" i="7" s="1"/>
  <c r="S21" i="1"/>
  <c r="P21"/>
  <c r="C20" i="12" s="1"/>
  <c r="O21" i="1"/>
  <c r="R21" s="1"/>
  <c r="M21"/>
  <c r="I21" i="2" s="1"/>
  <c r="L21" i="1"/>
  <c r="C20" i="10" s="1"/>
  <c r="I21" i="1"/>
  <c r="H21"/>
  <c r="G21"/>
  <c r="J21" s="1"/>
  <c r="F21"/>
  <c r="V20"/>
  <c r="D19" i="14" s="1"/>
  <c r="U20" i="1"/>
  <c r="D19" i="11" s="1"/>
  <c r="T20" i="1"/>
  <c r="D19" i="7" s="1"/>
  <c r="S20" i="1"/>
  <c r="P20"/>
  <c r="C19" i="12" s="1"/>
  <c r="M20" i="1"/>
  <c r="I20" i="2" s="1"/>
  <c r="L20" i="1"/>
  <c r="C19" i="10" s="1"/>
  <c r="I20" i="1"/>
  <c r="H20"/>
  <c r="G20"/>
  <c r="J20" s="1"/>
  <c r="F20"/>
  <c r="W19"/>
  <c r="C18" i="14"/>
  <c r="P19" i="1"/>
  <c r="C18" i="13" s="1"/>
  <c r="O19" i="1"/>
  <c r="M19"/>
  <c r="I19" i="2" s="1"/>
  <c r="L19" i="1"/>
  <c r="C18" i="10" s="1"/>
  <c r="K19" i="1"/>
  <c r="I19"/>
  <c r="H19"/>
  <c r="G19"/>
  <c r="C19" i="4" s="1"/>
  <c r="E19" i="1"/>
  <c r="C19" i="3" s="1"/>
  <c r="C25" i="1"/>
  <c r="R18"/>
  <c r="N18"/>
  <c r="J18"/>
  <c r="F18"/>
  <c r="R17"/>
  <c r="N17"/>
  <c r="J17"/>
  <c r="F17"/>
  <c r="R16"/>
  <c r="N16"/>
  <c r="J16"/>
  <c r="F16"/>
  <c r="R15"/>
  <c r="N15"/>
  <c r="J15"/>
  <c r="F15"/>
  <c r="R14"/>
  <c r="N14"/>
  <c r="J14"/>
  <c r="F14"/>
  <c r="R12"/>
  <c r="N12"/>
  <c r="J12"/>
  <c r="F12"/>
  <c r="R11"/>
  <c r="N11"/>
  <c r="J11"/>
  <c r="F11"/>
  <c r="R10"/>
  <c r="N10"/>
  <c r="J10"/>
  <c r="F10"/>
  <c r="R9"/>
  <c r="N9"/>
  <c r="J9"/>
  <c r="F9"/>
  <c r="R8"/>
  <c r="N8"/>
  <c r="J8"/>
  <c r="F8"/>
  <c r="R7"/>
  <c r="N7"/>
  <c r="J7"/>
  <c r="F7"/>
  <c r="R6"/>
  <c r="L6" i="2" s="1"/>
  <c r="N6" i="1"/>
  <c r="I6" i="2" s="1"/>
  <c r="J6" i="1"/>
  <c r="F6" i="2" s="1"/>
  <c r="F6" i="1"/>
  <c r="E4"/>
  <c r="J62" l="1"/>
  <c r="D14" i="5"/>
  <c r="D14" i="3" s="1"/>
  <c r="D61" i="5"/>
  <c r="D61" i="3" s="1"/>
  <c r="D61" i="4" s="1"/>
  <c r="B4" i="1"/>
  <c r="C76" i="15"/>
  <c r="C89" i="4"/>
  <c r="C116" i="15"/>
  <c r="C110" i="4"/>
  <c r="C81" i="15"/>
  <c r="C94" i="4"/>
  <c r="D94" s="1"/>
  <c r="C86" i="15"/>
  <c r="D86" s="1"/>
  <c r="C99" i="4"/>
  <c r="D99" s="1"/>
  <c r="C52" i="15"/>
  <c r="C62" i="4"/>
  <c r="D13" i="3"/>
  <c r="D13" i="4" s="1"/>
  <c r="D46" i="3"/>
  <c r="D46" i="4" s="1"/>
  <c r="D75" i="3"/>
  <c r="D75" i="4" s="1"/>
  <c r="E77" i="6"/>
  <c r="E84"/>
  <c r="K21" i="1"/>
  <c r="C20" i="9" s="1"/>
  <c r="N94" i="1"/>
  <c r="F18" i="14"/>
  <c r="F19" i="5"/>
  <c r="F25" s="1"/>
  <c r="F81"/>
  <c r="E97" i="8"/>
  <c r="E54" i="5"/>
  <c r="D54" i="3"/>
  <c r="F86" i="14"/>
  <c r="F89" i="5"/>
  <c r="W98" i="1"/>
  <c r="D34" i="3"/>
  <c r="E34" i="5"/>
  <c r="D38" i="3"/>
  <c r="E38" i="5"/>
  <c r="D42" i="3"/>
  <c r="E42" i="5"/>
  <c r="D79" i="3"/>
  <c r="E79" i="5"/>
  <c r="S6" i="1"/>
  <c r="D6" i="2" s="1"/>
  <c r="E6" s="1"/>
  <c r="F19" i="1"/>
  <c r="D20" i="15"/>
  <c r="E20" s="1"/>
  <c r="D24" i="3"/>
  <c r="F27" i="5"/>
  <c r="W112" i="1"/>
  <c r="F55" i="12"/>
  <c r="F57" i="5"/>
  <c r="F99" i="1"/>
  <c r="C99" i="3"/>
  <c r="D99" s="1"/>
  <c r="D64"/>
  <c r="E64" i="5"/>
  <c r="E97"/>
  <c r="C18" i="15"/>
  <c r="S95" i="1"/>
  <c r="U95"/>
  <c r="V95"/>
  <c r="E98"/>
  <c r="C98" i="3" s="1"/>
  <c r="E52" i="2"/>
  <c r="E54" i="8"/>
  <c r="S96" i="1"/>
  <c r="D96" i="2" s="1"/>
  <c r="V96" i="1"/>
  <c r="M96" i="2" s="1"/>
  <c r="U96" i="1"/>
  <c r="D93" i="11" s="1"/>
  <c r="E87" i="8"/>
  <c r="E54" i="12"/>
  <c r="U85" i="1"/>
  <c r="D82" i="11" s="1"/>
  <c r="U86" i="1"/>
  <c r="D83" i="11" s="1"/>
  <c r="E83" s="1"/>
  <c r="H24" i="1"/>
  <c r="C23" i="6" s="1"/>
  <c r="O22" i="1"/>
  <c r="R22" s="1"/>
  <c r="O23"/>
  <c r="R23" s="1"/>
  <c r="U34"/>
  <c r="D32" i="9" s="1"/>
  <c r="E32" s="1"/>
  <c r="U35" i="1"/>
  <c r="N110"/>
  <c r="D72" i="3"/>
  <c r="J45" i="1"/>
  <c r="V45" s="1"/>
  <c r="T67"/>
  <c r="D65" i="7" s="1"/>
  <c r="E65" s="1"/>
  <c r="G27" i="1"/>
  <c r="T90"/>
  <c r="D88" i="7" s="1"/>
  <c r="E88" s="1"/>
  <c r="T91" i="1"/>
  <c r="D89" i="7" s="1"/>
  <c r="H89" s="1"/>
  <c r="K20" i="1"/>
  <c r="C19" i="9" s="1"/>
  <c r="D89" i="3"/>
  <c r="E89" s="1"/>
  <c r="T31" i="1"/>
  <c r="D30" i="6" s="1"/>
  <c r="E30" s="1"/>
  <c r="T33" i="1"/>
  <c r="T39"/>
  <c r="D37" i="6" s="1"/>
  <c r="N99" i="1"/>
  <c r="U99" s="1"/>
  <c r="D96" i="11" s="1"/>
  <c r="S103" i="1"/>
  <c r="C91" i="12"/>
  <c r="C21" i="13"/>
  <c r="C96"/>
  <c r="S43" i="1"/>
  <c r="E41" i="2" s="1"/>
  <c r="S52" i="1"/>
  <c r="E52" i="8" s="1"/>
  <c r="N57" i="1"/>
  <c r="E94" i="5"/>
  <c r="H25" i="1"/>
  <c r="H109" s="1"/>
  <c r="T35"/>
  <c r="U40"/>
  <c r="D38" i="9" s="1"/>
  <c r="E38" s="1"/>
  <c r="T44" i="1"/>
  <c r="D42" i="7" s="1"/>
  <c r="E42" s="1"/>
  <c r="U48" i="1"/>
  <c r="D46" i="9" s="1"/>
  <c r="E46" s="1"/>
  <c r="U84" i="1"/>
  <c r="D81" i="10" s="1"/>
  <c r="E81" s="1"/>
  <c r="S90" i="1"/>
  <c r="U100"/>
  <c r="D97" i="11" s="1"/>
  <c r="K22" i="1"/>
  <c r="C21" i="9" s="1"/>
  <c r="F87" i="7"/>
  <c r="E54" i="11"/>
  <c r="C91"/>
  <c r="C86" i="12"/>
  <c r="U7" i="1"/>
  <c r="D7" i="10" s="1"/>
  <c r="E7" s="1"/>
  <c r="O20" i="1"/>
  <c r="U28"/>
  <c r="D27" i="9" s="1"/>
  <c r="E27" s="1"/>
  <c r="S67" i="1"/>
  <c r="E64" i="2" s="1"/>
  <c r="S91" i="1"/>
  <c r="F110"/>
  <c r="S110" s="1"/>
  <c r="C22" i="6"/>
  <c r="F55"/>
  <c r="C55" i="7"/>
  <c r="F86" i="9"/>
  <c r="C107"/>
  <c r="E53" i="11"/>
  <c r="C86"/>
  <c r="D96" i="12"/>
  <c r="N27" i="1"/>
  <c r="T34"/>
  <c r="D32" i="6" s="1"/>
  <c r="E32" s="1"/>
  <c r="T48" i="1"/>
  <c r="E84" i="10"/>
  <c r="C18" i="11"/>
  <c r="C107"/>
  <c r="W25" i="1"/>
  <c r="F24" i="11" s="1"/>
  <c r="F18" i="9"/>
  <c r="T95" i="1"/>
  <c r="T68"/>
  <c r="D66" i="7" s="1"/>
  <c r="E66" s="1"/>
  <c r="U68" i="1"/>
  <c r="D65" i="10" s="1"/>
  <c r="E65" s="1"/>
  <c r="C98" i="1"/>
  <c r="C111" s="1"/>
  <c r="T75"/>
  <c r="D72" i="6" s="1"/>
  <c r="E72" s="1"/>
  <c r="T69" i="1"/>
  <c r="D67" i="7" s="1"/>
  <c r="E67" s="1"/>
  <c r="U69" i="1"/>
  <c r="D66" i="11" s="1"/>
  <c r="E66" s="1"/>
  <c r="T96" i="1"/>
  <c r="D93" i="6" s="1"/>
  <c r="S41" i="1"/>
  <c r="T41"/>
  <c r="D39" i="6" s="1"/>
  <c r="E39" s="1"/>
  <c r="U71" i="1"/>
  <c r="D68" i="11" s="1"/>
  <c r="E68" s="1"/>
  <c r="S70" i="1"/>
  <c r="E67" i="2" s="1"/>
  <c r="U79" i="1"/>
  <c r="D76" i="10" s="1"/>
  <c r="T47" i="1"/>
  <c r="D45" i="7" s="1"/>
  <c r="E45" s="1"/>
  <c r="S66" i="1"/>
  <c r="T6"/>
  <c r="G6" i="2" s="1"/>
  <c r="G135" s="1"/>
  <c r="C6"/>
  <c r="T24" i="1"/>
  <c r="D23" i="7" s="1"/>
  <c r="V24" i="1"/>
  <c r="T86"/>
  <c r="D83" i="6" s="1"/>
  <c r="E83" s="1"/>
  <c r="S8" i="1"/>
  <c r="D8" i="2" s="1"/>
  <c r="E8" s="1"/>
  <c r="F86" i="10"/>
  <c r="F86" i="11"/>
  <c r="F86" i="13"/>
  <c r="Q87" i="2"/>
  <c r="J87"/>
  <c r="F86" i="6"/>
  <c r="F86" i="12"/>
  <c r="F89" i="8"/>
  <c r="F116" i="15" s="1"/>
  <c r="Q79" i="2"/>
  <c r="J79"/>
  <c r="Q61"/>
  <c r="J61"/>
  <c r="F62" i="8"/>
  <c r="F61" i="15" s="1"/>
  <c r="F57" i="8"/>
  <c r="F56" i="15" s="1"/>
  <c r="F55" i="10"/>
  <c r="F55" i="11"/>
  <c r="Q56" i="2"/>
  <c r="J56"/>
  <c r="F55" i="7"/>
  <c r="F55" i="9"/>
  <c r="F55" i="13"/>
  <c r="F55" i="14"/>
  <c r="Q27" i="2"/>
  <c r="J27"/>
  <c r="E53" i="12"/>
  <c r="C22" i="13"/>
  <c r="P25" i="1"/>
  <c r="P109" s="1"/>
  <c r="C20" i="13"/>
  <c r="D96"/>
  <c r="P24" i="1"/>
  <c r="C19" i="13"/>
  <c r="C107"/>
  <c r="C55" i="12"/>
  <c r="C19" i="11"/>
  <c r="C22"/>
  <c r="C96"/>
  <c r="L24" i="1"/>
  <c r="C23" i="10" s="1"/>
  <c r="C21" i="11"/>
  <c r="M24" i="1"/>
  <c r="C20" i="11"/>
  <c r="U75" i="1"/>
  <c r="D72" i="11" s="1"/>
  <c r="E72" s="1"/>
  <c r="C60"/>
  <c r="I61" i="2"/>
  <c r="U65" i="1"/>
  <c r="U60"/>
  <c r="D58" i="11" s="1"/>
  <c r="E58" s="1"/>
  <c r="U59" i="1"/>
  <c r="D57" i="10" s="1"/>
  <c r="E57" s="1"/>
  <c r="C55" i="11"/>
  <c r="U42" i="1"/>
  <c r="D40" i="11" s="1"/>
  <c r="E40" s="1"/>
  <c r="U43" i="1"/>
  <c r="D41" i="9" s="1"/>
  <c r="E41" s="1"/>
  <c r="U44" i="1"/>
  <c r="D42" i="10" s="1"/>
  <c r="E42" s="1"/>
  <c r="C26" i="11"/>
  <c r="I27" i="2"/>
  <c r="T40" i="1"/>
  <c r="D38" i="6" s="1"/>
  <c r="E38" s="1"/>
  <c r="C26" i="7"/>
  <c r="T42" i="1"/>
  <c r="D40" i="6" s="1"/>
  <c r="E40" s="1"/>
  <c r="T43" i="1"/>
  <c r="D41" i="7" s="1"/>
  <c r="E41" s="1"/>
  <c r="V46" i="1"/>
  <c r="D44" i="14" s="1"/>
  <c r="V41" i="1"/>
  <c r="I24"/>
  <c r="C19" i="7"/>
  <c r="C22"/>
  <c r="J99" i="1"/>
  <c r="T99" s="1"/>
  <c r="D97" i="7" s="1"/>
  <c r="K23" i="1"/>
  <c r="C21" i="7"/>
  <c r="N21" i="1"/>
  <c r="C21" i="6"/>
  <c r="C20" i="7"/>
  <c r="J89" i="1"/>
  <c r="J110"/>
  <c r="T85"/>
  <c r="D82" i="6" s="1"/>
  <c r="E82" s="1"/>
  <c r="D76" i="9"/>
  <c r="T79" i="1"/>
  <c r="D76" i="6" s="1"/>
  <c r="V73" i="1"/>
  <c r="V65"/>
  <c r="C60" i="7"/>
  <c r="T59" i="1"/>
  <c r="C47" i="15"/>
  <c r="S99" i="1"/>
  <c r="S105"/>
  <c r="S104"/>
  <c r="S107"/>
  <c r="G25"/>
  <c r="S101"/>
  <c r="G24"/>
  <c r="S100"/>
  <c r="J22"/>
  <c r="J23"/>
  <c r="S102"/>
  <c r="S106"/>
  <c r="S92"/>
  <c r="E91" i="8"/>
  <c r="U92" i="1"/>
  <c r="F89"/>
  <c r="U90"/>
  <c r="U91"/>
  <c r="T92"/>
  <c r="S82"/>
  <c r="T82"/>
  <c r="F81"/>
  <c r="U82"/>
  <c r="V86"/>
  <c r="V82"/>
  <c r="S83"/>
  <c r="T84"/>
  <c r="D82" i="7" s="1"/>
  <c r="S85" i="1"/>
  <c r="S86"/>
  <c r="S78"/>
  <c r="T66"/>
  <c r="T70"/>
  <c r="D73" i="7"/>
  <c r="E73" s="1"/>
  <c r="T64" i="1"/>
  <c r="S73"/>
  <c r="T74"/>
  <c r="S77"/>
  <c r="T78"/>
  <c r="U64"/>
  <c r="S65"/>
  <c r="U66"/>
  <c r="U67"/>
  <c r="S69"/>
  <c r="U70"/>
  <c r="S71"/>
  <c r="T73"/>
  <c r="U74"/>
  <c r="V75"/>
  <c r="D72" i="14" s="1"/>
  <c r="E72" s="1"/>
  <c r="T76" i="1"/>
  <c r="D73" i="6" s="1"/>
  <c r="E73" s="1"/>
  <c r="T77" i="1"/>
  <c r="U78"/>
  <c r="V79"/>
  <c r="D76" i="13" s="1"/>
  <c r="D76" i="11"/>
  <c r="S64" i="1"/>
  <c r="S74"/>
  <c r="T65"/>
  <c r="S68"/>
  <c r="T71"/>
  <c r="U73"/>
  <c r="S75"/>
  <c r="U77"/>
  <c r="S79"/>
  <c r="D77" i="3"/>
  <c r="F57" i="1"/>
  <c r="U58"/>
  <c r="V59"/>
  <c r="M59" i="2" s="1"/>
  <c r="S60" i="1"/>
  <c r="S61"/>
  <c r="E59" i="2" s="1"/>
  <c r="T58" i="1"/>
  <c r="S59"/>
  <c r="T60"/>
  <c r="T61"/>
  <c r="S58"/>
  <c r="U61"/>
  <c r="E34" i="2"/>
  <c r="E36" i="8"/>
  <c r="U31" i="1"/>
  <c r="S31"/>
  <c r="D31" i="6"/>
  <c r="E31" s="1"/>
  <c r="D31" i="7"/>
  <c r="E31" s="1"/>
  <c r="D33" i="11"/>
  <c r="E33" s="1"/>
  <c r="D33" i="10"/>
  <c r="E33" s="1"/>
  <c r="U39" i="1"/>
  <c r="S39"/>
  <c r="D39" i="2" s="1"/>
  <c r="S45" i="1"/>
  <c r="U50"/>
  <c r="T50"/>
  <c r="S50"/>
  <c r="U54"/>
  <c r="T54"/>
  <c r="D52" i="7" s="1"/>
  <c r="E52" s="1"/>
  <c r="T29" i="1"/>
  <c r="S29"/>
  <c r="U51"/>
  <c r="S51"/>
  <c r="D33" i="9"/>
  <c r="E33" s="1"/>
  <c r="U36" i="1"/>
  <c r="T36"/>
  <c r="U38"/>
  <c r="T38"/>
  <c r="U46"/>
  <c r="T46"/>
  <c r="S46"/>
  <c r="T49"/>
  <c r="S49"/>
  <c r="V49"/>
  <c r="D47" i="13" s="1"/>
  <c r="E47" s="1"/>
  <c r="T51" i="1"/>
  <c r="U53"/>
  <c r="T53"/>
  <c r="T28"/>
  <c r="S28"/>
  <c r="U29"/>
  <c r="U30"/>
  <c r="T30"/>
  <c r="S30"/>
  <c r="U33"/>
  <c r="S33"/>
  <c r="S38"/>
  <c r="D42" i="9"/>
  <c r="E42" s="1"/>
  <c r="S47" i="1"/>
  <c r="U47"/>
  <c r="U49"/>
  <c r="S53"/>
  <c r="S35"/>
  <c r="U41"/>
  <c r="S44"/>
  <c r="S48"/>
  <c r="T52"/>
  <c r="S34"/>
  <c r="V39"/>
  <c r="S40"/>
  <c r="S42"/>
  <c r="V51"/>
  <c r="U52"/>
  <c r="E43" i="8"/>
  <c r="U24" i="1"/>
  <c r="D24" i="5"/>
  <c r="D20" i="6"/>
  <c r="D23"/>
  <c r="D19" i="13"/>
  <c r="D20"/>
  <c r="D21"/>
  <c r="D22"/>
  <c r="D23"/>
  <c r="D22" i="6"/>
  <c r="D19" i="9"/>
  <c r="D20"/>
  <c r="D21"/>
  <c r="D22"/>
  <c r="I22" s="1"/>
  <c r="I26" s="1"/>
  <c r="D19" i="10"/>
  <c r="D20"/>
  <c r="D21"/>
  <c r="D22"/>
  <c r="D23" i="11"/>
  <c r="D20" i="14"/>
  <c r="D23"/>
  <c r="F24" i="1"/>
  <c r="C148" i="2" s="1"/>
  <c r="S24" i="1"/>
  <c r="D19" i="6"/>
  <c r="D21"/>
  <c r="D19" i="12"/>
  <c r="D20"/>
  <c r="D21"/>
  <c r="D22"/>
  <c r="D23"/>
  <c r="F18"/>
  <c r="J19" i="2"/>
  <c r="Q19"/>
  <c r="F18" i="6"/>
  <c r="F18" i="11"/>
  <c r="F18" i="13"/>
  <c r="F19" i="8"/>
  <c r="F25" s="1"/>
  <c r="F18" i="7"/>
  <c r="F18" i="10"/>
  <c r="C106" i="13"/>
  <c r="C106" i="12"/>
  <c r="C24"/>
  <c r="C24" i="13"/>
  <c r="C18" i="12"/>
  <c r="L25" i="1"/>
  <c r="C18" i="9"/>
  <c r="M25" i="1"/>
  <c r="U6"/>
  <c r="J6" i="2" s="1"/>
  <c r="K6" s="1"/>
  <c r="C18" i="6"/>
  <c r="I25" i="1"/>
  <c r="C18" i="7"/>
  <c r="D109" i="1"/>
  <c r="C109" i="5" s="1"/>
  <c r="C25"/>
  <c r="C109" i="1"/>
  <c r="T15"/>
  <c r="D14" i="6" s="1"/>
  <c r="E14" s="1"/>
  <c r="D99" i="1"/>
  <c r="C99" i="5" s="1"/>
  <c r="D99" s="1"/>
  <c r="D10" i="3"/>
  <c r="D10" i="4" s="1"/>
  <c r="D6" i="7"/>
  <c r="E6" s="1"/>
  <c r="S7" i="1"/>
  <c r="D7" i="2" s="1"/>
  <c r="E7" s="1"/>
  <c r="U17" i="1"/>
  <c r="D16" i="10" s="1"/>
  <c r="E16" s="1"/>
  <c r="D6" i="5"/>
  <c r="C19"/>
  <c r="D19" s="1"/>
  <c r="S14" i="1"/>
  <c r="E13" i="8" s="1"/>
  <c r="U15" i="1"/>
  <c r="D14" i="9" s="1"/>
  <c r="E14" s="1"/>
  <c r="T7" i="1"/>
  <c r="D7" i="6" s="1"/>
  <c r="E7" s="1"/>
  <c r="S9" i="1"/>
  <c r="D11" i="3"/>
  <c r="D11" i="4" s="1"/>
  <c r="F60" i="12"/>
  <c r="F60" i="13"/>
  <c r="F60" i="14"/>
  <c r="F60" i="7"/>
  <c r="F60" i="9"/>
  <c r="F60" i="10"/>
  <c r="F60" i="11"/>
  <c r="T72" i="1"/>
  <c r="S72"/>
  <c r="E69" i="2" s="1"/>
  <c r="F60" i="6"/>
  <c r="U72" i="1"/>
  <c r="E27" i="5"/>
  <c r="S37" i="1"/>
  <c r="E35" i="2" s="1"/>
  <c r="F27" i="8"/>
  <c r="F27" i="15" s="1"/>
  <c r="F26" i="6"/>
  <c r="T37" i="1"/>
  <c r="D98"/>
  <c r="D111" s="1"/>
  <c r="F26" i="14"/>
  <c r="F27" i="1"/>
  <c r="C27" i="2" s="1"/>
  <c r="U37" i="1"/>
  <c r="F26" i="9"/>
  <c r="F26" i="11"/>
  <c r="F26" i="13"/>
  <c r="F26" i="12"/>
  <c r="H98" i="1"/>
  <c r="F26" i="10"/>
  <c r="F26" i="7"/>
  <c r="C26" i="12"/>
  <c r="B110" i="21"/>
  <c r="E109"/>
  <c r="F110"/>
  <c r="I109"/>
  <c r="I110" s="1"/>
  <c r="I111" s="1"/>
  <c r="J110"/>
  <c r="M109"/>
  <c r="M110" s="1"/>
  <c r="L111"/>
  <c r="M111"/>
  <c r="N111"/>
  <c r="N113" s="1"/>
  <c r="D111"/>
  <c r="J111"/>
  <c r="G111"/>
  <c r="B111"/>
  <c r="F111"/>
  <c r="C111"/>
  <c r="K111"/>
  <c r="H111"/>
  <c r="T7"/>
  <c r="T8"/>
  <c r="T9"/>
  <c r="U10"/>
  <c r="S12"/>
  <c r="T14"/>
  <c r="R16"/>
  <c r="R17"/>
  <c r="U18"/>
  <c r="U9"/>
  <c r="R10"/>
  <c r="S11"/>
  <c r="S16"/>
  <c r="S17"/>
  <c r="R18"/>
  <c r="R9"/>
  <c r="R19" s="1"/>
  <c r="R25" s="1"/>
  <c r="R107" s="1"/>
  <c r="S10"/>
  <c r="U12"/>
  <c r="R14"/>
  <c r="S18"/>
  <c r="S7"/>
  <c r="S19" s="1"/>
  <c r="S25" s="1"/>
  <c r="S107" s="1"/>
  <c r="S8"/>
  <c r="U11"/>
  <c r="U16"/>
  <c r="U17"/>
  <c r="Q97"/>
  <c r="O98" i="1"/>
  <c r="O111" s="1"/>
  <c r="O112" s="1"/>
  <c r="P98"/>
  <c r="C95" i="13" s="1"/>
  <c r="C60"/>
  <c r="M98" i="1"/>
  <c r="E84" i="9"/>
  <c r="R27" i="1"/>
  <c r="D34" i="15"/>
  <c r="E34" s="1"/>
  <c r="U12" i="1"/>
  <c r="S18"/>
  <c r="E17" i="2" s="1"/>
  <c r="U11" i="1"/>
  <c r="S16"/>
  <c r="E15" i="2" s="1"/>
  <c r="T18" i="1"/>
  <c r="S10"/>
  <c r="D10" i="2" s="1"/>
  <c r="U8" i="1"/>
  <c r="T9"/>
  <c r="U10"/>
  <c r="S12"/>
  <c r="D12" i="2" s="1"/>
  <c r="E12" s="1"/>
  <c r="T14" i="1"/>
  <c r="T16"/>
  <c r="S17"/>
  <c r="E16" i="2" s="1"/>
  <c r="U18" i="1"/>
  <c r="J19"/>
  <c r="N19"/>
  <c r="T11"/>
  <c r="T8"/>
  <c r="T10"/>
  <c r="U9"/>
  <c r="S11"/>
  <c r="T12"/>
  <c r="U14"/>
  <c r="S15"/>
  <c r="E14" i="2" s="1"/>
  <c r="U16" i="1"/>
  <c r="T17"/>
  <c r="D78" i="3"/>
  <c r="D85"/>
  <c r="D85" i="4" s="1"/>
  <c r="G85" s="1"/>
  <c r="D96" i="9"/>
  <c r="H98"/>
  <c r="C20" i="6"/>
  <c r="D22" i="15"/>
  <c r="E62"/>
  <c r="E71"/>
  <c r="C20"/>
  <c r="T83" i="1"/>
  <c r="F78" i="6"/>
  <c r="C78" i="13"/>
  <c r="F78" i="14"/>
  <c r="C70" i="15"/>
  <c r="F81" i="8"/>
  <c r="F85" i="15" s="1"/>
  <c r="U83" i="1"/>
  <c r="V84"/>
  <c r="M84" i="2" s="1"/>
  <c r="G98" i="1"/>
  <c r="C98" i="4" s="1"/>
  <c r="K98" i="1"/>
  <c r="C81" i="5"/>
  <c r="C78" i="6"/>
  <c r="F78" i="11"/>
  <c r="C78" i="12"/>
  <c r="F78" i="13"/>
  <c r="J81" i="1"/>
  <c r="N81"/>
  <c r="V83"/>
  <c r="S84"/>
  <c r="L98"/>
  <c r="F79" i="7"/>
  <c r="F78" i="9"/>
  <c r="F78" i="10"/>
  <c r="C78" i="11"/>
  <c r="F78" i="12"/>
  <c r="I98" i="1"/>
  <c r="R99"/>
  <c r="R110"/>
  <c r="V9"/>
  <c r="V10"/>
  <c r="V11"/>
  <c r="V17"/>
  <c r="M17" i="2" s="1"/>
  <c r="V33" i="1"/>
  <c r="V34"/>
  <c r="M34" i="2" s="1"/>
  <c r="V43" i="1"/>
  <c r="M43" i="2" s="1"/>
  <c r="V44" i="1"/>
  <c r="E3" i="16"/>
  <c r="R89" i="1"/>
  <c r="D39" i="12"/>
  <c r="E39" s="1"/>
  <c r="V71" i="1"/>
  <c r="M71" i="2" s="1"/>
  <c r="V8" i="1"/>
  <c r="M8" i="2" s="1"/>
  <c r="V16" i="1"/>
  <c r="M16" i="2" s="1"/>
  <c r="V29" i="1"/>
  <c r="M29" i="2" s="1"/>
  <c r="V30" i="1"/>
  <c r="V31"/>
  <c r="V47"/>
  <c r="M47" i="2" s="1"/>
  <c r="V48" i="1"/>
  <c r="V52"/>
  <c r="M52" i="2" s="1"/>
  <c r="R57" i="1"/>
  <c r="V67"/>
  <c r="M67" i="2" s="1"/>
  <c r="V68" i="1"/>
  <c r="M68" i="2" s="1"/>
  <c r="V69" i="1"/>
  <c r="M69" i="2" s="1"/>
  <c r="D83" i="14"/>
  <c r="E83" s="1"/>
  <c r="D83" i="12"/>
  <c r="E83" s="1"/>
  <c r="V7" i="1"/>
  <c r="M7" i="2" s="1"/>
  <c r="V12" i="1"/>
  <c r="V14"/>
  <c r="V35"/>
  <c r="V36"/>
  <c r="M36" i="2" s="1"/>
  <c r="V37" i="1"/>
  <c r="V91"/>
  <c r="M91" i="2" s="1"/>
  <c r="V58" i="1"/>
  <c r="M58" i="2" s="1"/>
  <c r="V72" i="1"/>
  <c r="M72" i="2" s="1"/>
  <c r="D92" i="14"/>
  <c r="D92" i="13"/>
  <c r="D92" i="12"/>
  <c r="V15" i="1"/>
  <c r="M15" i="2" s="1"/>
  <c r="V28" i="1"/>
  <c r="M28" i="2" s="1"/>
  <c r="V38" i="1"/>
  <c r="M38" i="2" s="1"/>
  <c r="V50" i="1"/>
  <c r="V53"/>
  <c r="M53" i="2" s="1"/>
  <c r="V64" i="1"/>
  <c r="M64" i="2" s="1"/>
  <c r="D44" i="12"/>
  <c r="V6" i="1"/>
  <c r="M6" i="2" s="1"/>
  <c r="C135" s="1"/>
  <c r="F135" s="1"/>
  <c r="V40" i="1"/>
  <c r="M40" i="2" s="1"/>
  <c r="V54" i="1"/>
  <c r="V60"/>
  <c r="M60" i="2" s="1"/>
  <c r="V74" i="1"/>
  <c r="M74" i="2" s="1"/>
  <c r="V77" i="1"/>
  <c r="M77" i="2" s="1"/>
  <c r="V78" i="1"/>
  <c r="M78" i="2" s="1"/>
  <c r="R81" i="1"/>
  <c r="V85"/>
  <c r="M85" i="2" s="1"/>
  <c r="V90" i="1"/>
  <c r="M90" i="2" s="1"/>
  <c r="R94" i="1"/>
  <c r="V42"/>
  <c r="M42" i="2" s="1"/>
  <c r="V61" i="1"/>
  <c r="V66"/>
  <c r="M66" i="2" s="1"/>
  <c r="V70" i="1"/>
  <c r="M70" i="2" s="1"/>
  <c r="V76" i="1"/>
  <c r="F62"/>
  <c r="C62" i="2" s="1"/>
  <c r="S76" i="1"/>
  <c r="E73" i="2" s="1"/>
  <c r="U76" i="1"/>
  <c r="Q27" i="21"/>
  <c r="Q61"/>
  <c r="U61" s="1"/>
  <c r="Q79"/>
  <c r="Q108"/>
  <c r="U108" s="1"/>
  <c r="U56"/>
  <c r="Q56"/>
  <c r="P96"/>
  <c r="V92" i="1"/>
  <c r="M92" i="2" s="1"/>
  <c r="P24" i="21"/>
  <c r="U28"/>
  <c r="U27" s="1"/>
  <c r="U62"/>
  <c r="U80"/>
  <c r="U79" s="1"/>
  <c r="Q87"/>
  <c r="U87" s="1"/>
  <c r="P25"/>
  <c r="P107" s="1"/>
  <c r="Q92"/>
  <c r="X14"/>
  <c r="U19"/>
  <c r="U25" s="1"/>
  <c r="U107" s="1"/>
  <c r="Q19"/>
  <c r="Q25" s="1"/>
  <c r="Q107" s="1"/>
  <c r="R19" i="1"/>
  <c r="C24" i="14"/>
  <c r="V18" i="1"/>
  <c r="M18" i="2" s="1"/>
  <c r="C106" i="14"/>
  <c r="I111" i="1" l="1"/>
  <c r="E14" i="3"/>
  <c r="D14" i="4"/>
  <c r="E14" s="1"/>
  <c r="E64" i="3"/>
  <c r="D64" i="4"/>
  <c r="E64" s="1"/>
  <c r="E79" i="3"/>
  <c r="D79" i="4"/>
  <c r="E79" s="1"/>
  <c r="E38" i="3"/>
  <c r="D38" i="4"/>
  <c r="E38" s="1"/>
  <c r="T62" i="1"/>
  <c r="V62"/>
  <c r="M62" i="2" s="1"/>
  <c r="N62" s="1"/>
  <c r="D74" i="15"/>
  <c r="D72" i="4"/>
  <c r="D89"/>
  <c r="E89" s="1"/>
  <c r="E42" i="3"/>
  <c r="D42" i="4"/>
  <c r="E42" s="1"/>
  <c r="E34" i="3"/>
  <c r="D34" i="4"/>
  <c r="E34" s="1"/>
  <c r="E54" i="3"/>
  <c r="D54" i="4"/>
  <c r="E54" s="1"/>
  <c r="E78" i="3"/>
  <c r="D78" i="4"/>
  <c r="E78" s="1"/>
  <c r="E77" i="3"/>
  <c r="D77" i="4"/>
  <c r="E77" s="1"/>
  <c r="D81" i="5"/>
  <c r="E81" s="1"/>
  <c r="D62" i="10"/>
  <c r="E62" s="1"/>
  <c r="U62" i="1"/>
  <c r="F98" i="4"/>
  <c r="O98" i="2"/>
  <c r="H98" s="1"/>
  <c r="F98" i="3"/>
  <c r="F112" i="4"/>
  <c r="F112" i="3"/>
  <c r="O112" i="2"/>
  <c r="H112" s="1"/>
  <c r="D88" i="6"/>
  <c r="E88" s="1"/>
  <c r="D80" i="13"/>
  <c r="E80" s="1"/>
  <c r="M83" i="2"/>
  <c r="C106" i="6"/>
  <c r="D65"/>
  <c r="E65" s="1"/>
  <c r="M41" i="2"/>
  <c r="D62" i="14"/>
  <c r="E62" s="1"/>
  <c r="M65" i="2"/>
  <c r="E89" i="7"/>
  <c r="M73" i="2"/>
  <c r="D79" i="13"/>
  <c r="E79" s="1"/>
  <c r="M82" i="2"/>
  <c r="D83" i="13"/>
  <c r="E83" s="1"/>
  <c r="M86" i="2"/>
  <c r="C24" i="6"/>
  <c r="D38" i="11"/>
  <c r="E38" s="1"/>
  <c r="D38" i="10"/>
  <c r="E38" s="1"/>
  <c r="D64" i="6"/>
  <c r="E64" s="1"/>
  <c r="D43" i="14"/>
  <c r="E43" s="1"/>
  <c r="M45" i="2"/>
  <c r="D49" i="14"/>
  <c r="E49" s="1"/>
  <c r="M51" i="2"/>
  <c r="C25" i="15"/>
  <c r="D25" s="1"/>
  <c r="C27" i="4"/>
  <c r="C19" i="6"/>
  <c r="G109" i="1"/>
  <c r="C25" i="4"/>
  <c r="D62" i="3"/>
  <c r="E62" s="1"/>
  <c r="D110"/>
  <c r="D37" i="14"/>
  <c r="E37" s="1"/>
  <c r="M39" i="2"/>
  <c r="E39"/>
  <c r="E63"/>
  <c r="D66"/>
  <c r="E66" s="1"/>
  <c r="H6"/>
  <c r="D6" i="6"/>
  <c r="E6" s="1"/>
  <c r="E50" i="2"/>
  <c r="D37" i="7"/>
  <c r="E37" s="1"/>
  <c r="E66" i="8"/>
  <c r="D58" i="9"/>
  <c r="E58" s="1"/>
  <c r="D56" i="15"/>
  <c r="E56" s="1"/>
  <c r="D44" i="13"/>
  <c r="D81" i="11"/>
  <c r="E81" s="1"/>
  <c r="E6" i="8"/>
  <c r="D42" i="11"/>
  <c r="E41" i="8"/>
  <c r="D57" i="11"/>
  <c r="E57" s="1"/>
  <c r="D81" i="9"/>
  <c r="E81" s="1"/>
  <c r="E83" i="5"/>
  <c r="D83" i="3"/>
  <c r="E8" i="8"/>
  <c r="D60" i="3"/>
  <c r="E60" i="5"/>
  <c r="D37" i="3"/>
  <c r="E37" i="5"/>
  <c r="D45" i="3"/>
  <c r="E45" i="5"/>
  <c r="D36" i="3"/>
  <c r="D36" i="4" s="1"/>
  <c r="E36" s="1"/>
  <c r="E36" i="5"/>
  <c r="D29" i="3"/>
  <c r="E29" i="5"/>
  <c r="D31" i="3"/>
  <c r="E31" i="5"/>
  <c r="E70"/>
  <c r="D70" i="3"/>
  <c r="D65"/>
  <c r="E65" i="5"/>
  <c r="D107" i="6"/>
  <c r="E110" i="5"/>
  <c r="D15" i="3"/>
  <c r="E15" i="5"/>
  <c r="D7" i="3"/>
  <c r="E7" i="5"/>
  <c r="O25" i="1"/>
  <c r="O109" s="1"/>
  <c r="O113" s="1"/>
  <c r="D73" i="3"/>
  <c r="N20" i="1"/>
  <c r="D90" i="3"/>
  <c r="E90" i="5"/>
  <c r="D76" i="3"/>
  <c r="E76" i="5"/>
  <c r="E82"/>
  <c r="D82" i="3"/>
  <c r="D27"/>
  <c r="E27" s="1"/>
  <c r="D57"/>
  <c r="D50"/>
  <c r="E50" i="5"/>
  <c r="D49" i="3"/>
  <c r="E49" i="5"/>
  <c r="D44" i="15"/>
  <c r="E44" s="1"/>
  <c r="D44" i="3"/>
  <c r="D44" i="4" s="1"/>
  <c r="D47" i="3"/>
  <c r="E47" i="5"/>
  <c r="E86"/>
  <c r="D86" i="3"/>
  <c r="D86" i="4" s="1"/>
  <c r="E86" s="1"/>
  <c r="D9" i="3"/>
  <c r="E9" i="5"/>
  <c r="D70" i="12"/>
  <c r="E70" s="1"/>
  <c r="D70" i="13"/>
  <c r="E70" s="1"/>
  <c r="D72" i="12"/>
  <c r="E72" s="1"/>
  <c r="D74" i="3"/>
  <c r="E74" i="5"/>
  <c r="D28" i="3"/>
  <c r="E28" i="5"/>
  <c r="D58" i="3"/>
  <c r="E58" i="5"/>
  <c r="D8" i="3"/>
  <c r="E8" i="5"/>
  <c r="D6" i="3"/>
  <c r="E6" i="5"/>
  <c r="D41" i="3"/>
  <c r="E41" i="5"/>
  <c r="D27" i="11"/>
  <c r="E27" s="1"/>
  <c r="E71" i="5"/>
  <c r="D71" i="3"/>
  <c r="D66"/>
  <c r="E66" i="5"/>
  <c r="E84"/>
  <c r="D84" i="3"/>
  <c r="D17"/>
  <c r="E17" i="5"/>
  <c r="D91" i="3"/>
  <c r="E91" i="5"/>
  <c r="D43" i="3"/>
  <c r="E43" i="5"/>
  <c r="E53"/>
  <c r="D53" i="3"/>
  <c r="D53" i="4" s="1"/>
  <c r="E53" s="1"/>
  <c r="F112" i="5"/>
  <c r="W111" i="1"/>
  <c r="F98" i="5"/>
  <c r="D48" i="3"/>
  <c r="E48" i="5"/>
  <c r="D39" i="3"/>
  <c r="E39" i="5"/>
  <c r="D59" i="3"/>
  <c r="E59" i="5"/>
  <c r="F24" i="13"/>
  <c r="W109" i="1"/>
  <c r="D16" i="3"/>
  <c r="E16" i="5"/>
  <c r="D30" i="3"/>
  <c r="E30" i="5"/>
  <c r="D18" i="3"/>
  <c r="E18" i="5"/>
  <c r="D85" i="15"/>
  <c r="E85" s="1"/>
  <c r="D79" i="14"/>
  <c r="E79" s="1"/>
  <c r="D70"/>
  <c r="E70" s="1"/>
  <c r="D52" i="3"/>
  <c r="E52" i="5"/>
  <c r="D12" i="3"/>
  <c r="E12" i="5"/>
  <c r="D33" i="3"/>
  <c r="E33" i="5"/>
  <c r="D40" i="9"/>
  <c r="E40" s="1"/>
  <c r="D32" i="7"/>
  <c r="E32" s="1"/>
  <c r="D27" i="10"/>
  <c r="E27" s="1"/>
  <c r="D67" i="3"/>
  <c r="E67" i="5"/>
  <c r="D68" i="10"/>
  <c r="E68" s="1"/>
  <c r="D51" i="3"/>
  <c r="D53" i="15" s="1"/>
  <c r="E53" s="1"/>
  <c r="E51" i="5"/>
  <c r="D69" i="3"/>
  <c r="E69" i="5"/>
  <c r="E92"/>
  <c r="D92" i="3"/>
  <c r="D92" i="4" s="1"/>
  <c r="E92" s="1"/>
  <c r="D40" i="3"/>
  <c r="E40" i="5"/>
  <c r="E87"/>
  <c r="D87" i="3"/>
  <c r="D87" i="4" s="1"/>
  <c r="D35" i="3"/>
  <c r="E35" i="5"/>
  <c r="D68" i="3"/>
  <c r="E68" i="5"/>
  <c r="E57"/>
  <c r="E89"/>
  <c r="E111" i="1"/>
  <c r="C111" i="3" s="1"/>
  <c r="E90" i="8"/>
  <c r="C21" i="15"/>
  <c r="D47" i="12"/>
  <c r="E47" s="1"/>
  <c r="D14" i="7"/>
  <c r="E14" s="1"/>
  <c r="E62" i="5"/>
  <c r="D82" i="10"/>
  <c r="D82" i="9"/>
  <c r="E82" s="1"/>
  <c r="D14" i="11"/>
  <c r="E14" s="1"/>
  <c r="D7" i="9"/>
  <c r="E7" s="1"/>
  <c r="D7" i="11"/>
  <c r="E7" s="1"/>
  <c r="D41"/>
  <c r="E41" s="1"/>
  <c r="V94" i="1"/>
  <c r="M94" i="2" s="1"/>
  <c r="S94" i="1"/>
  <c r="D94" i="2" s="1"/>
  <c r="U94" i="1"/>
  <c r="D91" i="11" s="1"/>
  <c r="D93" i="14"/>
  <c r="D93" i="12"/>
  <c r="D93" i="13"/>
  <c r="F23" i="15"/>
  <c r="F25"/>
  <c r="J27" i="1"/>
  <c r="J98" s="1"/>
  <c r="D6" i="10"/>
  <c r="E6" s="1"/>
  <c r="D32"/>
  <c r="E32" s="1"/>
  <c r="T45" i="1"/>
  <c r="D43" i="7" s="1"/>
  <c r="E43" s="1"/>
  <c r="D72" i="9"/>
  <c r="E72" s="1"/>
  <c r="D66"/>
  <c r="E66" s="1"/>
  <c r="E70" i="8"/>
  <c r="D83" i="10"/>
  <c r="E83" s="1"/>
  <c r="D47" i="14"/>
  <c r="E47" s="1"/>
  <c r="D62" i="12"/>
  <c r="E62" s="1"/>
  <c r="D81" i="6"/>
  <c r="E81" s="1"/>
  <c r="D32" i="11"/>
  <c r="E32" s="1"/>
  <c r="D39" i="7"/>
  <c r="E39" s="1"/>
  <c r="D40" i="10"/>
  <c r="E40" s="1"/>
  <c r="D30" i="7"/>
  <c r="E30" s="1"/>
  <c r="T110" i="1"/>
  <c r="D108" i="7" s="1"/>
  <c r="D87" i="6"/>
  <c r="E87" s="1"/>
  <c r="K61" i="2"/>
  <c r="U45" i="1"/>
  <c r="E7" i="8"/>
  <c r="D7" i="7"/>
  <c r="E7" s="1"/>
  <c r="D46" i="11"/>
  <c r="E46" s="1"/>
  <c r="D66" i="10"/>
  <c r="E66" s="1"/>
  <c r="D83" i="9"/>
  <c r="E83" s="1"/>
  <c r="D84" i="7"/>
  <c r="E84" s="1"/>
  <c r="D80" i="12"/>
  <c r="E80" s="1"/>
  <c r="D83" i="7"/>
  <c r="D66" i="6"/>
  <c r="E66" s="1"/>
  <c r="D42"/>
  <c r="E42" s="1"/>
  <c r="D41"/>
  <c r="E67" i="8"/>
  <c r="J24" i="1"/>
  <c r="D94" i="7"/>
  <c r="T94" i="1"/>
  <c r="C23" i="15"/>
  <c r="D23" s="1"/>
  <c r="D38" i="7"/>
  <c r="E38" s="1"/>
  <c r="N71" i="2"/>
  <c r="K79"/>
  <c r="D41" i="10"/>
  <c r="E41" s="1"/>
  <c r="D58"/>
  <c r="E58" s="1"/>
  <c r="V89" i="1"/>
  <c r="D49" i="12"/>
  <c r="E49" s="1"/>
  <c r="U110" i="1"/>
  <c r="D107" i="10" s="1"/>
  <c r="K24" i="1"/>
  <c r="C23" i="9" s="1"/>
  <c r="D76" i="14"/>
  <c r="D14" i="10"/>
  <c r="E14" s="1"/>
  <c r="D45" i="6"/>
  <c r="E45" s="1"/>
  <c r="D46" i="10"/>
  <c r="E46" s="1"/>
  <c r="N22" i="1"/>
  <c r="D74" i="7"/>
  <c r="E74" s="1"/>
  <c r="D43" i="9"/>
  <c r="E43" s="1"/>
  <c r="D46" i="6"/>
  <c r="E46" s="1"/>
  <c r="D46" i="7"/>
  <c r="E46" s="1"/>
  <c r="O24" i="1"/>
  <c r="R20"/>
  <c r="R24" s="1"/>
  <c r="D33" i="7"/>
  <c r="E33" s="1"/>
  <c r="D33" i="6"/>
  <c r="E33" s="1"/>
  <c r="K27" i="2"/>
  <c r="J25"/>
  <c r="F24" i="10"/>
  <c r="F24" i="12"/>
  <c r="F24" i="7"/>
  <c r="Q25" i="2"/>
  <c r="F24" i="14"/>
  <c r="F24" i="9"/>
  <c r="D68"/>
  <c r="E68" s="1"/>
  <c r="D92" i="11"/>
  <c r="D92" i="10"/>
  <c r="E92" s="1"/>
  <c r="D92" i="9"/>
  <c r="E92" s="1"/>
  <c r="D93" i="7"/>
  <c r="D92" i="6"/>
  <c r="D65" i="11"/>
  <c r="E65" s="1"/>
  <c r="D65" i="9"/>
  <c r="E65" s="1"/>
  <c r="D72" i="10"/>
  <c r="E72" s="1"/>
  <c r="D28" i="15"/>
  <c r="E28" s="1"/>
  <c r="D76" i="12"/>
  <c r="D77" i="7"/>
  <c r="D79" i="12"/>
  <c r="E79" s="1"/>
  <c r="D8" i="15"/>
  <c r="E8" s="1"/>
  <c r="K87" i="2"/>
  <c r="Q108"/>
  <c r="J108"/>
  <c r="K56"/>
  <c r="J96"/>
  <c r="Q96"/>
  <c r="C23" i="12"/>
  <c r="C23" i="13"/>
  <c r="D72"/>
  <c r="E72" s="1"/>
  <c r="D62"/>
  <c r="E62" s="1"/>
  <c r="N63" i="2"/>
  <c r="D49" i="13"/>
  <c r="E49" s="1"/>
  <c r="P111" i="1"/>
  <c r="P112" s="1"/>
  <c r="C95" i="12"/>
  <c r="I24" i="2"/>
  <c r="C23" i="11"/>
  <c r="D62"/>
  <c r="E62" s="1"/>
  <c r="D62" i="9"/>
  <c r="E62" s="1"/>
  <c r="D57"/>
  <c r="E57" s="1"/>
  <c r="D39" i="13"/>
  <c r="E39" s="1"/>
  <c r="D37" i="12"/>
  <c r="E37" s="1"/>
  <c r="N40" i="2"/>
  <c r="D39" i="14"/>
  <c r="E39" s="1"/>
  <c r="M111" i="1"/>
  <c r="I109" i="2" s="1"/>
  <c r="I96"/>
  <c r="D43" i="12"/>
  <c r="E43" s="1"/>
  <c r="D43" i="13"/>
  <c r="E43" s="1"/>
  <c r="D40" i="7"/>
  <c r="E40" s="1"/>
  <c r="N23" i="1"/>
  <c r="C22" i="9"/>
  <c r="K25" i="1"/>
  <c r="C23" i="7"/>
  <c r="C95" i="6"/>
  <c r="D57"/>
  <c r="E57" s="1"/>
  <c r="D57" i="7"/>
  <c r="E57" s="1"/>
  <c r="D89" i="9"/>
  <c r="D89" i="11"/>
  <c r="E89" s="1"/>
  <c r="D89" i="10"/>
  <c r="E89" s="1"/>
  <c r="D88" i="11"/>
  <c r="E88" s="1"/>
  <c r="D88" i="10"/>
  <c r="E88" s="1"/>
  <c r="D88" i="9"/>
  <c r="D87" i="10"/>
  <c r="E87" s="1"/>
  <c r="D87" i="9"/>
  <c r="E87" s="1"/>
  <c r="D87" i="11"/>
  <c r="E87" s="1"/>
  <c r="E89" i="2"/>
  <c r="E92" i="8"/>
  <c r="D89" i="6"/>
  <c r="E89" s="1"/>
  <c r="D90" i="7"/>
  <c r="N90" i="2"/>
  <c r="N88"/>
  <c r="T89" i="1"/>
  <c r="S89"/>
  <c r="E89" i="8" s="1"/>
  <c r="U89" i="1"/>
  <c r="V81"/>
  <c r="M81" i="2" s="1"/>
  <c r="N80"/>
  <c r="D80" i="7"/>
  <c r="E80" s="1"/>
  <c r="D79" i="6"/>
  <c r="E79" s="1"/>
  <c r="E83" i="8"/>
  <c r="N84" i="2"/>
  <c r="D81" i="12"/>
  <c r="E81" s="1"/>
  <c r="D80" i="14"/>
  <c r="E80" s="1"/>
  <c r="E86" i="8"/>
  <c r="D79" i="10"/>
  <c r="E79" s="1"/>
  <c r="D79" i="11"/>
  <c r="E79" s="1"/>
  <c r="D79" i="9"/>
  <c r="E79" s="1"/>
  <c r="E79" i="2"/>
  <c r="E82" i="8"/>
  <c r="E79"/>
  <c r="E61" i="2"/>
  <c r="E64" i="8"/>
  <c r="D74" i="6"/>
  <c r="E74" s="1"/>
  <c r="D75" i="7"/>
  <c r="E75" s="1"/>
  <c r="D71" i="11"/>
  <c r="E71" s="1"/>
  <c r="D71" i="10"/>
  <c r="E71" s="1"/>
  <c r="D71" i="9"/>
  <c r="E69" i="8"/>
  <c r="D61" i="10"/>
  <c r="E61" s="1"/>
  <c r="D61" i="9"/>
  <c r="E61" s="1"/>
  <c r="D61" i="11"/>
  <c r="E61" s="1"/>
  <c r="E70" i="2"/>
  <c r="N74"/>
  <c r="N64"/>
  <c r="N75"/>
  <c r="N65"/>
  <c r="D74" i="11"/>
  <c r="E74" s="1"/>
  <c r="D74" i="9"/>
  <c r="E74" s="1"/>
  <c r="D74" i="10"/>
  <c r="E74" s="1"/>
  <c r="E65" i="2"/>
  <c r="E68" i="8"/>
  <c r="D70" i="6"/>
  <c r="D71" i="7"/>
  <c r="E71" s="1"/>
  <c r="D64" i="9"/>
  <c r="E64" s="1"/>
  <c r="D64" i="11"/>
  <c r="E64" s="1"/>
  <c r="D64" i="10"/>
  <c r="E64" s="1"/>
  <c r="D75" i="6"/>
  <c r="E75" s="1"/>
  <c r="D76" i="7"/>
  <c r="E76" s="1"/>
  <c r="D61" i="6"/>
  <c r="E61" s="1"/>
  <c r="D62" i="7"/>
  <c r="E62" s="1"/>
  <c r="N68" i="2"/>
  <c r="D64" i="15"/>
  <c r="E64" s="1"/>
  <c r="E72" i="2"/>
  <c r="D63" i="7"/>
  <c r="E63" s="1"/>
  <c r="D62" i="6"/>
  <c r="E62" s="1"/>
  <c r="N77" i="2"/>
  <c r="E68"/>
  <c r="E71" i="8"/>
  <c r="D63" i="9"/>
  <c r="E63" s="1"/>
  <c r="D63" i="11"/>
  <c r="E63" s="1"/>
  <c r="D63" i="10"/>
  <c r="E63" s="1"/>
  <c r="E74" i="2"/>
  <c r="D67" i="6"/>
  <c r="E67" s="1"/>
  <c r="D68" i="7"/>
  <c r="E68" s="1"/>
  <c r="N76" i="2"/>
  <c r="N70"/>
  <c r="N66"/>
  <c r="D69" i="7"/>
  <c r="E69" s="1"/>
  <c r="D68" i="6"/>
  <c r="E68" s="1"/>
  <c r="N67" i="2"/>
  <c r="N69"/>
  <c r="D66" i="15"/>
  <c r="E66" s="1"/>
  <c r="D70" i="11"/>
  <c r="E70" s="1"/>
  <c r="D70" i="10"/>
  <c r="E70" s="1"/>
  <c r="D70" i="9"/>
  <c r="E70" s="1"/>
  <c r="E71" i="2"/>
  <c r="E74" i="8"/>
  <c r="D75" i="9"/>
  <c r="E75" s="1"/>
  <c r="D75" i="11"/>
  <c r="E75" s="1"/>
  <c r="D75" i="10"/>
  <c r="E75" s="1"/>
  <c r="N73" i="2"/>
  <c r="D67" i="11"/>
  <c r="E67" s="1"/>
  <c r="D67" i="10"/>
  <c r="E67" s="1"/>
  <c r="D67" i="9"/>
  <c r="E67" s="1"/>
  <c r="E65" i="8"/>
  <c r="D71" i="6"/>
  <c r="E71" s="1"/>
  <c r="D72" i="7"/>
  <c r="D64"/>
  <c r="E64" s="1"/>
  <c r="D63" i="6"/>
  <c r="E63" s="1"/>
  <c r="D59" i="11"/>
  <c r="E59" s="1"/>
  <c r="D59" i="10"/>
  <c r="E59" s="1"/>
  <c r="D59" i="9"/>
  <c r="D57" i="12"/>
  <c r="E57" s="1"/>
  <c r="N58" i="2"/>
  <c r="N59"/>
  <c r="D57" i="14"/>
  <c r="E57" s="1"/>
  <c r="E56" i="2"/>
  <c r="E58" i="8"/>
  <c r="S57" i="1"/>
  <c r="D59" i="6"/>
  <c r="E59" s="1"/>
  <c r="D59" i="7"/>
  <c r="E59" s="1"/>
  <c r="D56" i="10"/>
  <c r="E56" s="1"/>
  <c r="D56" i="11"/>
  <c r="E56" s="1"/>
  <c r="U57" i="1"/>
  <c r="D56" i="9"/>
  <c r="E56" s="1"/>
  <c r="D58" i="7"/>
  <c r="E58" s="1"/>
  <c r="D58" i="6"/>
  <c r="E58" s="1"/>
  <c r="D56"/>
  <c r="E56" s="1"/>
  <c r="D56" i="7"/>
  <c r="E56" s="1"/>
  <c r="T57" i="1"/>
  <c r="N60" i="2"/>
  <c r="D57" i="13"/>
  <c r="E57" s="1"/>
  <c r="C98" i="5"/>
  <c r="D98" s="1"/>
  <c r="D98" i="3" s="1"/>
  <c r="D98" i="4" s="1"/>
  <c r="E57" i="2"/>
  <c r="E59" i="8"/>
  <c r="E58" i="2"/>
  <c r="E60" i="8"/>
  <c r="E36" i="2"/>
  <c r="E38" i="8"/>
  <c r="D47" i="7"/>
  <c r="E47" s="1"/>
  <c r="D47" i="6"/>
  <c r="E47" s="1"/>
  <c r="E37" i="2"/>
  <c r="E39" i="8"/>
  <c r="N39" i="2"/>
  <c r="N34"/>
  <c r="N51"/>
  <c r="E32"/>
  <c r="E34" i="8"/>
  <c r="E42" i="2"/>
  <c r="D45" i="9"/>
  <c r="E45" s="1"/>
  <c r="D45" i="11"/>
  <c r="E45" s="1"/>
  <c r="D45" i="10"/>
  <c r="E45" s="1"/>
  <c r="E31" i="2"/>
  <c r="E33" i="8"/>
  <c r="D29" i="6"/>
  <c r="E29" s="1"/>
  <c r="D29" i="7"/>
  <c r="E29" s="1"/>
  <c r="E28" i="8"/>
  <c r="D49" i="7"/>
  <c r="E49" s="1"/>
  <c r="D49" i="6"/>
  <c r="E49" s="1"/>
  <c r="D44" i="7"/>
  <c r="D44" i="6"/>
  <c r="D34" i="7"/>
  <c r="E34" s="1"/>
  <c r="D34" i="6"/>
  <c r="E34" s="1"/>
  <c r="D49" i="9"/>
  <c r="E49" s="1"/>
  <c r="D49" i="11"/>
  <c r="E49" s="1"/>
  <c r="D49" i="10"/>
  <c r="E49" s="1"/>
  <c r="E28" i="2"/>
  <c r="E29" i="8"/>
  <c r="D37" i="10"/>
  <c r="E37" s="1"/>
  <c r="D37" i="11"/>
  <c r="E37" s="1"/>
  <c r="D37" i="9"/>
  <c r="E37" s="1"/>
  <c r="N35" i="2"/>
  <c r="N38"/>
  <c r="E48" i="8"/>
  <c r="D47" i="9"/>
  <c r="E47" s="1"/>
  <c r="D47" i="11"/>
  <c r="E47" s="1"/>
  <c r="D47" i="10"/>
  <c r="E47" s="1"/>
  <c r="E29" i="2"/>
  <c r="E30" i="8"/>
  <c r="E49" i="2"/>
  <c r="E51" i="8"/>
  <c r="D52" i="10"/>
  <c r="D52" i="11"/>
  <c r="E52" s="1"/>
  <c r="D52" i="9"/>
  <c r="D43" i="6"/>
  <c r="E43" s="1"/>
  <c r="N52" i="2"/>
  <c r="N47"/>
  <c r="N31"/>
  <c r="N42"/>
  <c r="D50" i="10"/>
  <c r="E50" s="1"/>
  <c r="D50" i="9"/>
  <c r="E50" s="1"/>
  <c r="D50" i="11"/>
  <c r="E50" s="1"/>
  <c r="D39"/>
  <c r="E39" s="1"/>
  <c r="D39" i="10"/>
  <c r="E39" s="1"/>
  <c r="D39" i="9"/>
  <c r="E39" s="1"/>
  <c r="E45" i="2"/>
  <c r="E47" i="8"/>
  <c r="D31" i="11"/>
  <c r="E31" s="1"/>
  <c r="D31" i="10"/>
  <c r="E31" s="1"/>
  <c r="D31" i="9"/>
  <c r="E31" s="1"/>
  <c r="D29"/>
  <c r="E29" s="1"/>
  <c r="D29" i="10"/>
  <c r="E29" s="1"/>
  <c r="D29" i="11"/>
  <c r="E29" s="1"/>
  <c r="D27" i="7"/>
  <c r="E27" s="1"/>
  <c r="D27" i="6"/>
  <c r="E27" s="1"/>
  <c r="D51" i="7"/>
  <c r="E51" s="1"/>
  <c r="D51" i="6"/>
  <c r="E51" s="1"/>
  <c r="D44" i="9"/>
  <c r="E44" s="1"/>
  <c r="D44" i="11"/>
  <c r="D44" i="10"/>
  <c r="E44" s="1"/>
  <c r="D36" i="7"/>
  <c r="E36" s="1"/>
  <c r="D36" i="6"/>
  <c r="E36" s="1"/>
  <c r="D34" i="10"/>
  <c r="E34" s="1"/>
  <c r="D34" i="11"/>
  <c r="E34" s="1"/>
  <c r="D34" i="9"/>
  <c r="E34" s="1"/>
  <c r="D28" i="7"/>
  <c r="E28" s="1"/>
  <c r="D28" i="6"/>
  <c r="E28" s="1"/>
  <c r="E48" i="2"/>
  <c r="E50" i="8"/>
  <c r="N44" i="2"/>
  <c r="V27" i="1"/>
  <c r="M27" i="2" s="1"/>
  <c r="N28"/>
  <c r="N29"/>
  <c r="N32"/>
  <c r="E40"/>
  <c r="E42" i="8"/>
  <c r="D28" i="9"/>
  <c r="E28" s="1"/>
  <c r="D28" i="11"/>
  <c r="E28" s="1"/>
  <c r="D28" i="10"/>
  <c r="E28" s="1"/>
  <c r="D48" i="9"/>
  <c r="E48" s="1"/>
  <c r="D48" i="11"/>
  <c r="E48" s="1"/>
  <c r="D48" i="10"/>
  <c r="E48" s="1"/>
  <c r="D30"/>
  <c r="E30" s="1"/>
  <c r="D30" i="11"/>
  <c r="E30" s="1"/>
  <c r="D30" i="9"/>
  <c r="E30" s="1"/>
  <c r="N41" i="2"/>
  <c r="N49"/>
  <c r="N37"/>
  <c r="N36"/>
  <c r="N46"/>
  <c r="N30"/>
  <c r="N33"/>
  <c r="D37" i="13"/>
  <c r="E37" s="1"/>
  <c r="N50" i="2"/>
  <c r="E38"/>
  <c r="E40" i="8"/>
  <c r="D50" i="7"/>
  <c r="E50" s="1"/>
  <c r="D50" i="6"/>
  <c r="E50" s="1"/>
  <c r="E33" i="2"/>
  <c r="E35" i="8"/>
  <c r="E51" i="2"/>
  <c r="E53" i="8"/>
  <c r="D51" i="10"/>
  <c r="E51" s="1"/>
  <c r="D51" i="11"/>
  <c r="E51" s="1"/>
  <c r="D51" i="9"/>
  <c r="E51" s="1"/>
  <c r="E47" i="2"/>
  <c r="E49" i="8"/>
  <c r="D36" i="11"/>
  <c r="E36" s="1"/>
  <c r="D36" i="10"/>
  <c r="E36" s="1"/>
  <c r="D36" i="9"/>
  <c r="E36" s="1"/>
  <c r="D48" i="7"/>
  <c r="E48" s="1"/>
  <c r="D48" i="6"/>
  <c r="E48" s="1"/>
  <c r="E43" i="2"/>
  <c r="E45" i="8"/>
  <c r="E30" i="2"/>
  <c r="E31" i="8"/>
  <c r="F24" i="6"/>
  <c r="G148" i="2"/>
  <c r="D23" i="10"/>
  <c r="D23" i="9"/>
  <c r="K19" i="2"/>
  <c r="D6" i="11"/>
  <c r="E6" s="1"/>
  <c r="D6" i="9"/>
  <c r="E6" s="1"/>
  <c r="C24" i="10"/>
  <c r="L109" i="1"/>
  <c r="C106" i="10" s="1"/>
  <c r="D16" i="9"/>
  <c r="E16" s="1"/>
  <c r="I25" i="2"/>
  <c r="C24" i="11"/>
  <c r="M109" i="1"/>
  <c r="H6" i="10"/>
  <c r="I109" i="1"/>
  <c r="C24" i="7"/>
  <c r="E25" i="1"/>
  <c r="C25" i="3" s="1"/>
  <c r="D16" i="11"/>
  <c r="E16" s="1"/>
  <c r="C140" i="2"/>
  <c r="C143"/>
  <c r="N6"/>
  <c r="C141"/>
  <c r="C139"/>
  <c r="S19" i="1"/>
  <c r="E18" i="2" s="1"/>
  <c r="D11"/>
  <c r="D9"/>
  <c r="E9" s="1"/>
  <c r="E9" i="8"/>
  <c r="E72"/>
  <c r="D69" i="11"/>
  <c r="E69" s="1"/>
  <c r="D69" i="10"/>
  <c r="E69" s="1"/>
  <c r="D69" i="9"/>
  <c r="E69" s="1"/>
  <c r="D70" i="7"/>
  <c r="E70" s="1"/>
  <c r="D69" i="6"/>
  <c r="E69" s="1"/>
  <c r="D35" i="11"/>
  <c r="E35" s="1"/>
  <c r="D35" i="9"/>
  <c r="E35" s="1"/>
  <c r="U27" i="1"/>
  <c r="D35" i="10"/>
  <c r="E35" s="1"/>
  <c r="D35" i="6"/>
  <c r="D35" i="7"/>
  <c r="E35" s="1"/>
  <c r="T27" i="1"/>
  <c r="E37" i="8"/>
  <c r="S27" i="1"/>
  <c r="D27" i="2" s="1"/>
  <c r="E27" s="1"/>
  <c r="P4" i="21"/>
  <c r="P3" s="1"/>
  <c r="P109"/>
  <c r="R109"/>
  <c r="E110"/>
  <c r="T109"/>
  <c r="S109"/>
  <c r="T19"/>
  <c r="T25" s="1"/>
  <c r="T107" s="1"/>
  <c r="C95" i="11"/>
  <c r="D15" i="10"/>
  <c r="E15" s="1"/>
  <c r="D15" i="11"/>
  <c r="E15" s="1"/>
  <c r="D15" i="9"/>
  <c r="E15" s="1"/>
  <c r="D13" i="7"/>
  <c r="D13" i="6"/>
  <c r="E13" s="1"/>
  <c r="D42" i="15"/>
  <c r="E42" s="1"/>
  <c r="E15" i="8"/>
  <c r="D9" i="11"/>
  <c r="D9" i="9"/>
  <c r="D9" i="10"/>
  <c r="D11" i="7"/>
  <c r="D11" i="6"/>
  <c r="D17" i="11"/>
  <c r="E17" s="1"/>
  <c r="D17" i="9"/>
  <c r="E17" s="1"/>
  <c r="D17" i="10"/>
  <c r="E17" s="1"/>
  <c r="D9" i="7"/>
  <c r="D9" i="6"/>
  <c r="E9" s="1"/>
  <c r="D17" i="7"/>
  <c r="E17" s="1"/>
  <c r="D17" i="6"/>
  <c r="E17" s="1"/>
  <c r="G85" i="3"/>
  <c r="E18" i="8"/>
  <c r="B2" i="16"/>
  <c r="D36" i="15"/>
  <c r="E36" s="1"/>
  <c r="T19" i="1"/>
  <c r="D13" i="11"/>
  <c r="D13" i="9"/>
  <c r="D13" i="10"/>
  <c r="D10" i="7"/>
  <c r="D10" i="6"/>
  <c r="D48" i="15"/>
  <c r="E48" s="1"/>
  <c r="D2" i="16"/>
  <c r="E17" i="8"/>
  <c r="D8" i="11"/>
  <c r="E8" s="1"/>
  <c r="D8" i="9"/>
  <c r="E8" s="1"/>
  <c r="D8" i="10"/>
  <c r="E8" s="1"/>
  <c r="U19" i="1"/>
  <c r="E16" i="8"/>
  <c r="D12" i="11"/>
  <c r="D12" i="9"/>
  <c r="D12" i="10"/>
  <c r="D57" i="15"/>
  <c r="E57" s="1"/>
  <c r="D10" i="11"/>
  <c r="D10" i="9"/>
  <c r="D10" i="10"/>
  <c r="D15" i="15"/>
  <c r="E15" s="1"/>
  <c r="D40"/>
  <c r="E40" s="1"/>
  <c r="D16" i="7"/>
  <c r="E16" s="1"/>
  <c r="D16" i="6"/>
  <c r="E16" s="1"/>
  <c r="D12" i="7"/>
  <c r="D12" i="6"/>
  <c r="D8" i="7"/>
  <c r="E8" s="1"/>
  <c r="D8" i="6"/>
  <c r="E8" s="1"/>
  <c r="C2" i="16"/>
  <c r="J25" i="1"/>
  <c r="D15" i="7"/>
  <c r="E15" s="1"/>
  <c r="D15" i="6"/>
  <c r="E15" s="1"/>
  <c r="D11" i="11"/>
  <c r="D11" i="9"/>
  <c r="D11" i="10"/>
  <c r="D10" i="15"/>
  <c r="E10" s="1"/>
  <c r="N98" i="1"/>
  <c r="D81" i="13"/>
  <c r="E81" s="1"/>
  <c r="F95"/>
  <c r="F95" i="6"/>
  <c r="F95" i="10"/>
  <c r="F96" i="7"/>
  <c r="F98" i="8"/>
  <c r="F95" i="14"/>
  <c r="F95" i="12"/>
  <c r="F95" i="11"/>
  <c r="F95" i="9"/>
  <c r="C95" i="10"/>
  <c r="L111" i="1"/>
  <c r="F107" i="13"/>
  <c r="F107" i="9"/>
  <c r="F107" i="10"/>
  <c r="F107" i="6"/>
  <c r="E107" s="1"/>
  <c r="F110" i="8"/>
  <c r="F107" i="12"/>
  <c r="F107" i="11"/>
  <c r="F107" i="14"/>
  <c r="F108" i="7"/>
  <c r="U81" i="1"/>
  <c r="D80" i="10"/>
  <c r="E80" s="1"/>
  <c r="D80" i="9"/>
  <c r="E80" s="1"/>
  <c r="D80" i="11"/>
  <c r="E80" s="1"/>
  <c r="H112" i="1"/>
  <c r="H113" s="1"/>
  <c r="C108" i="6"/>
  <c r="D81" i="14"/>
  <c r="E81" s="1"/>
  <c r="E84" i="8"/>
  <c r="C95" i="9"/>
  <c r="K111" i="1"/>
  <c r="S81"/>
  <c r="C108" i="12"/>
  <c r="C111" i="5"/>
  <c r="D111" s="1"/>
  <c r="D112" i="1"/>
  <c r="C111" i="4"/>
  <c r="C85" i="15"/>
  <c r="D81" i="7"/>
  <c r="T81" i="1"/>
  <c r="D80" i="6"/>
  <c r="V110" i="1"/>
  <c r="M110" i="2" s="1"/>
  <c r="R98" i="1"/>
  <c r="D52" i="13"/>
  <c r="E52" s="1"/>
  <c r="D52" i="12"/>
  <c r="E52" s="1"/>
  <c r="D59" i="13"/>
  <c r="E59" s="1"/>
  <c r="D59" i="12"/>
  <c r="E59" s="1"/>
  <c r="D87" i="14"/>
  <c r="E87" s="1"/>
  <c r="D87" i="13"/>
  <c r="E87" s="1"/>
  <c r="D87" i="12"/>
  <c r="E87" s="1"/>
  <c r="D74"/>
  <c r="E74" s="1"/>
  <c r="D74" i="14"/>
  <c r="E74" s="1"/>
  <c r="D74" i="13"/>
  <c r="E74" s="1"/>
  <c r="D38" i="12"/>
  <c r="E38" s="1"/>
  <c r="D38" i="14"/>
  <c r="E38" s="1"/>
  <c r="D38" i="13"/>
  <c r="E38" s="1"/>
  <c r="D51" i="14"/>
  <c r="E51" s="1"/>
  <c r="D51" i="12"/>
  <c r="E51" s="1"/>
  <c r="D51" i="13"/>
  <c r="E51" s="1"/>
  <c r="D69" i="14"/>
  <c r="E69" s="1"/>
  <c r="D69" i="13"/>
  <c r="E69" s="1"/>
  <c r="D69" i="12"/>
  <c r="E69" s="1"/>
  <c r="D13" i="14"/>
  <c r="D13" i="13"/>
  <c r="D13" i="12"/>
  <c r="D66" i="14"/>
  <c r="E66" s="1"/>
  <c r="D66" i="13"/>
  <c r="E66" s="1"/>
  <c r="D66" i="12"/>
  <c r="E66" s="1"/>
  <c r="D50" i="13"/>
  <c r="E50" s="1"/>
  <c r="D50" i="14"/>
  <c r="E50" s="1"/>
  <c r="D50" i="12"/>
  <c r="E50" s="1"/>
  <c r="D15" i="14"/>
  <c r="E15" s="1"/>
  <c r="D15" i="12"/>
  <c r="E15" s="1"/>
  <c r="D15" i="13"/>
  <c r="E15" s="1"/>
  <c r="D31" i="14"/>
  <c r="E31" s="1"/>
  <c r="D31" i="13"/>
  <c r="E31" s="1"/>
  <c r="D31" i="12"/>
  <c r="E31" s="1"/>
  <c r="D9" i="14"/>
  <c r="D9" i="13"/>
  <c r="D9" i="12"/>
  <c r="D82" i="14"/>
  <c r="D82" i="13"/>
  <c r="D82" i="12"/>
  <c r="D6" i="13"/>
  <c r="D6" i="14"/>
  <c r="D6" i="12"/>
  <c r="D48" i="14"/>
  <c r="E48" s="1"/>
  <c r="D48" i="13"/>
  <c r="E48" s="1"/>
  <c r="D48" i="12"/>
  <c r="E48" s="1"/>
  <c r="D36" i="14"/>
  <c r="E36" s="1"/>
  <c r="D36" i="13"/>
  <c r="E36" s="1"/>
  <c r="D36" i="12"/>
  <c r="E36" s="1"/>
  <c r="D56" i="13"/>
  <c r="E56" s="1"/>
  <c r="D56" i="12"/>
  <c r="E56" s="1"/>
  <c r="D56" i="14"/>
  <c r="E56" s="1"/>
  <c r="V57" i="1"/>
  <c r="M57" i="2" s="1"/>
  <c r="N57" s="1"/>
  <c r="D35" i="14"/>
  <c r="E35" s="1"/>
  <c r="D35" i="13"/>
  <c r="E35" s="1"/>
  <c r="D35" i="12"/>
  <c r="E35" s="1"/>
  <c r="D12" i="14"/>
  <c r="D12" i="13"/>
  <c r="D12" i="12"/>
  <c r="D65" i="14"/>
  <c r="E65" s="1"/>
  <c r="D65" i="13"/>
  <c r="E65" s="1"/>
  <c r="D65" i="12"/>
  <c r="E65" s="1"/>
  <c r="D46" i="13"/>
  <c r="E46" s="1"/>
  <c r="D46" i="14"/>
  <c r="E46" s="1"/>
  <c r="D46" i="12"/>
  <c r="E46" s="1"/>
  <c r="D30"/>
  <c r="E30" s="1"/>
  <c r="D30" i="13"/>
  <c r="E30" s="1"/>
  <c r="D30" i="14"/>
  <c r="E30" s="1"/>
  <c r="D8" i="13"/>
  <c r="E8" s="1"/>
  <c r="D8" i="14"/>
  <c r="E8" s="1"/>
  <c r="D8" i="12"/>
  <c r="E8" s="1"/>
  <c r="D68" i="14"/>
  <c r="E68" s="1"/>
  <c r="D68" i="12"/>
  <c r="E68" s="1"/>
  <c r="D68" i="13"/>
  <c r="E68" s="1"/>
  <c r="D42" i="12"/>
  <c r="E42" s="1"/>
  <c r="D42" i="14"/>
  <c r="E42" s="1"/>
  <c r="D42" i="13"/>
  <c r="E42" s="1"/>
  <c r="D16" i="14"/>
  <c r="E16" s="1"/>
  <c r="D16" i="13"/>
  <c r="E16" s="1"/>
  <c r="D16" i="12"/>
  <c r="E16" s="1"/>
  <c r="D84" i="14"/>
  <c r="D84" i="12"/>
  <c r="D84" i="13"/>
  <c r="D40" i="14"/>
  <c r="E40" s="1"/>
  <c r="D40" i="13"/>
  <c r="E40" s="1"/>
  <c r="D40" i="12"/>
  <c r="E40" s="1"/>
  <c r="D71" i="14"/>
  <c r="E71" s="1"/>
  <c r="D71" i="12"/>
  <c r="E71" s="1"/>
  <c r="D71" i="13"/>
  <c r="E71" s="1"/>
  <c r="D67" i="14"/>
  <c r="E67" s="1"/>
  <c r="D67" i="12"/>
  <c r="E67" s="1"/>
  <c r="D67" i="13"/>
  <c r="E67" s="1"/>
  <c r="D58" i="14"/>
  <c r="E58" s="1"/>
  <c r="D58" i="13"/>
  <c r="E58" s="1"/>
  <c r="D58" i="12"/>
  <c r="E58" s="1"/>
  <c r="D61" i="14"/>
  <c r="E61" s="1"/>
  <c r="D61" i="13"/>
  <c r="E61" s="1"/>
  <c r="D61" i="12"/>
  <c r="E61" s="1"/>
  <c r="D27" i="14"/>
  <c r="E27" s="1"/>
  <c r="D27" i="13"/>
  <c r="E27" s="1"/>
  <c r="D27" i="12"/>
  <c r="E27" s="1"/>
  <c r="D88" i="14"/>
  <c r="E88" s="1"/>
  <c r="D88" i="12"/>
  <c r="E88" s="1"/>
  <c r="D88" i="13"/>
  <c r="E88" s="1"/>
  <c r="D34" i="12"/>
  <c r="E34" s="1"/>
  <c r="D34" i="14"/>
  <c r="E34" s="1"/>
  <c r="D34" i="13"/>
  <c r="E34" s="1"/>
  <c r="D7" i="14"/>
  <c r="E7" s="1"/>
  <c r="D7" i="12"/>
  <c r="E7" s="1"/>
  <c r="D7" i="13"/>
  <c r="E7" s="1"/>
  <c r="D64" i="14"/>
  <c r="E64" s="1"/>
  <c r="D64" i="12"/>
  <c r="E64" s="1"/>
  <c r="D64" i="13"/>
  <c r="E64" s="1"/>
  <c r="D45" i="14"/>
  <c r="E45" s="1"/>
  <c r="D45" i="13"/>
  <c r="E45" s="1"/>
  <c r="D45" i="12"/>
  <c r="E45" s="1"/>
  <c r="D29" i="14"/>
  <c r="E29" s="1"/>
  <c r="D29" i="13"/>
  <c r="E29" s="1"/>
  <c r="D29" i="12"/>
  <c r="E29" s="1"/>
  <c r="D41" i="14"/>
  <c r="E41" s="1"/>
  <c r="D41" i="13"/>
  <c r="E41" s="1"/>
  <c r="D41" i="12"/>
  <c r="E41" s="1"/>
  <c r="D11" i="14"/>
  <c r="D11" i="13"/>
  <c r="D11" i="12"/>
  <c r="D63" i="14"/>
  <c r="E63" s="1"/>
  <c r="D63" i="12"/>
  <c r="E63" s="1"/>
  <c r="D63" i="13"/>
  <c r="E63" s="1"/>
  <c r="D75" i="14"/>
  <c r="E75" s="1"/>
  <c r="D75" i="13"/>
  <c r="E75" s="1"/>
  <c r="D75" i="12"/>
  <c r="E75" s="1"/>
  <c r="D14" i="14"/>
  <c r="E14" s="1"/>
  <c r="D14" i="13"/>
  <c r="E14" s="1"/>
  <c r="D14" i="12"/>
  <c r="E14" s="1"/>
  <c r="D33" i="14"/>
  <c r="E33" s="1"/>
  <c r="D33" i="13"/>
  <c r="E33" s="1"/>
  <c r="D33" i="12"/>
  <c r="E33" s="1"/>
  <c r="D28" i="14"/>
  <c r="E28" s="1"/>
  <c r="D28" i="13"/>
  <c r="E28" s="1"/>
  <c r="D28" i="12"/>
  <c r="E28" s="1"/>
  <c r="D32" i="14"/>
  <c r="E32" s="1"/>
  <c r="D32" i="13"/>
  <c r="E32" s="1"/>
  <c r="D32" i="12"/>
  <c r="E32" s="1"/>
  <c r="D10" i="14"/>
  <c r="D10" i="13"/>
  <c r="D10" i="12"/>
  <c r="P110" i="21"/>
  <c r="C112" i="1"/>
  <c r="C113" s="1"/>
  <c r="C115" s="1"/>
  <c r="E76" i="8"/>
  <c r="F98" i="1"/>
  <c r="C98" i="2" s="1"/>
  <c r="D73" i="14"/>
  <c r="E73" s="1"/>
  <c r="D73" i="13"/>
  <c r="E73" s="1"/>
  <c r="D73" i="12"/>
  <c r="E73" s="1"/>
  <c r="D73" i="10"/>
  <c r="E73" s="1"/>
  <c r="D73" i="9"/>
  <c r="E73" s="1"/>
  <c r="D73" i="11"/>
  <c r="E73" s="1"/>
  <c r="U96" i="21"/>
  <c r="D89" i="13"/>
  <c r="E89" s="1"/>
  <c r="D89" i="14"/>
  <c r="E89" s="1"/>
  <c r="D89" i="12"/>
  <c r="E89" s="1"/>
  <c r="Q96" i="21"/>
  <c r="Q109" s="1"/>
  <c r="X15"/>
  <c r="Y15" s="1"/>
  <c r="X17"/>
  <c r="Y17" s="1"/>
  <c r="X16"/>
  <c r="Y16" s="1"/>
  <c r="X18"/>
  <c r="D17" i="13"/>
  <c r="E17" s="1"/>
  <c r="D17" i="12"/>
  <c r="E17" s="1"/>
  <c r="D17" i="14"/>
  <c r="E17" s="1"/>
  <c r="V19" i="1"/>
  <c r="M19" i="2" s="1"/>
  <c r="R25" i="1"/>
  <c r="E2" i="16"/>
  <c r="C110" i="14"/>
  <c r="D27" i="4" l="1"/>
  <c r="E27" s="1"/>
  <c r="E52" i="3"/>
  <c r="D52" i="4"/>
  <c r="E52" s="1"/>
  <c r="D6" i="15"/>
  <c r="D6" i="4"/>
  <c r="E6" s="1"/>
  <c r="E74" i="3"/>
  <c r="D74" i="4"/>
  <c r="E74" s="1"/>
  <c r="E7" i="3"/>
  <c r="D7" i="4"/>
  <c r="E7" s="1"/>
  <c r="E45" i="3"/>
  <c r="D45" i="4"/>
  <c r="E45" s="1"/>
  <c r="E60" i="3"/>
  <c r="D60" i="4"/>
  <c r="E60" s="1"/>
  <c r="E18" i="3"/>
  <c r="D18" i="4"/>
  <c r="E18" s="1"/>
  <c r="E16" i="3"/>
  <c r="D16" i="4"/>
  <c r="E16" s="1"/>
  <c r="E59" i="3"/>
  <c r="D59" i="4"/>
  <c r="E59" s="1"/>
  <c r="E48" i="3"/>
  <c r="D48" i="4"/>
  <c r="E48" s="1"/>
  <c r="D81" i="3"/>
  <c r="E43"/>
  <c r="D43" i="4"/>
  <c r="E43" s="1"/>
  <c r="E17" i="3"/>
  <c r="D17" i="4"/>
  <c r="E17" s="1"/>
  <c r="E66" i="3"/>
  <c r="D66" i="4"/>
  <c r="E66" s="1"/>
  <c r="E9" i="3"/>
  <c r="D9" i="4"/>
  <c r="E9" s="1"/>
  <c r="E47" i="3"/>
  <c r="D47" i="4"/>
  <c r="E47" s="1"/>
  <c r="E49" i="3"/>
  <c r="D49" i="4"/>
  <c r="E49" s="1"/>
  <c r="D79" i="15"/>
  <c r="E79" s="1"/>
  <c r="D76" i="4"/>
  <c r="E76" s="1"/>
  <c r="E73" i="3"/>
  <c r="D73" i="4"/>
  <c r="E73" s="1"/>
  <c r="D62"/>
  <c r="E62" s="1"/>
  <c r="D111" i="3"/>
  <c r="D112" s="1"/>
  <c r="E68"/>
  <c r="D68" i="4"/>
  <c r="E68" s="1"/>
  <c r="E51" i="3"/>
  <c r="D51" i="4"/>
  <c r="E51" s="1"/>
  <c r="E33" i="3"/>
  <c r="D33" i="4"/>
  <c r="E33" s="1"/>
  <c r="E58" i="3"/>
  <c r="D58" i="4"/>
  <c r="E58" s="1"/>
  <c r="E57" i="3"/>
  <c r="D57" i="4"/>
  <c r="E57" s="1"/>
  <c r="E29" i="3"/>
  <c r="D29" i="4"/>
  <c r="E29" s="1"/>
  <c r="E98"/>
  <c r="E35" i="3"/>
  <c r="D35" i="4"/>
  <c r="E35" s="1"/>
  <c r="E40" i="3"/>
  <c r="D40" i="4"/>
  <c r="E40" s="1"/>
  <c r="E69" i="3"/>
  <c r="D69" i="4"/>
  <c r="E69" s="1"/>
  <c r="E12" i="3"/>
  <c r="D12" i="4"/>
  <c r="E12" s="1"/>
  <c r="E71" i="3"/>
  <c r="D71" i="4"/>
  <c r="E71" s="1"/>
  <c r="E41" i="3"/>
  <c r="D41" i="4"/>
  <c r="E41" s="1"/>
  <c r="E8" i="3"/>
  <c r="D8" i="4"/>
  <c r="E8" s="1"/>
  <c r="E28" i="3"/>
  <c r="D28" i="4"/>
  <c r="E28" s="1"/>
  <c r="E82" i="3"/>
  <c r="D82" i="4"/>
  <c r="E82" s="1"/>
  <c r="E15" i="3"/>
  <c r="D15" i="4"/>
  <c r="E15" s="1"/>
  <c r="E65" i="3"/>
  <c r="D65" i="4"/>
  <c r="E65" s="1"/>
  <c r="E31" i="3"/>
  <c r="D31" i="4"/>
  <c r="E31" s="1"/>
  <c r="E37" i="3"/>
  <c r="D37" i="4"/>
  <c r="E37" s="1"/>
  <c r="E83" i="3"/>
  <c r="D83" i="4"/>
  <c r="E83" s="1"/>
  <c r="E67" i="3"/>
  <c r="D67" i="4"/>
  <c r="E67" s="1"/>
  <c r="E30" i="3"/>
  <c r="D30" i="4"/>
  <c r="E30" s="1"/>
  <c r="E39" i="3"/>
  <c r="D39" i="4"/>
  <c r="E39" s="1"/>
  <c r="E91" i="3"/>
  <c r="D91" i="4"/>
  <c r="E91" s="1"/>
  <c r="E50" i="3"/>
  <c r="D50" i="4"/>
  <c r="E50" s="1"/>
  <c r="E90" i="3"/>
  <c r="D90" i="4"/>
  <c r="E90" s="1"/>
  <c r="E70" i="3"/>
  <c r="D70" i="4"/>
  <c r="E70" s="1"/>
  <c r="D110"/>
  <c r="E110" s="1"/>
  <c r="F111"/>
  <c r="O111" i="2"/>
  <c r="H111" s="1"/>
  <c r="F111" i="3"/>
  <c r="Q98" i="2"/>
  <c r="K98"/>
  <c r="D86" i="12"/>
  <c r="E86" s="1"/>
  <c r="M89" i="2"/>
  <c r="N89" s="1"/>
  <c r="C115" i="15"/>
  <c r="C109" i="4"/>
  <c r="D116" i="15"/>
  <c r="D84" i="4"/>
  <c r="D76" i="15"/>
  <c r="E76" s="1"/>
  <c r="D31"/>
  <c r="E31" s="1"/>
  <c r="D54"/>
  <c r="E54" s="1"/>
  <c r="D43"/>
  <c r="E43" s="1"/>
  <c r="D9"/>
  <c r="E9" s="1"/>
  <c r="D32"/>
  <c r="E32" s="1"/>
  <c r="D61"/>
  <c r="E61" s="1"/>
  <c r="E92" i="3"/>
  <c r="D68" i="15"/>
  <c r="E68" s="1"/>
  <c r="E60" i="2"/>
  <c r="D62"/>
  <c r="E62" s="1"/>
  <c r="C108" i="13"/>
  <c r="D60" i="15"/>
  <c r="E60" s="1"/>
  <c r="E6" i="3"/>
  <c r="G144" i="2"/>
  <c r="H6" i="11"/>
  <c r="N25" i="1"/>
  <c r="D30" i="15"/>
  <c r="E30" s="1"/>
  <c r="E19" i="5"/>
  <c r="D19" i="3"/>
  <c r="F111" i="5"/>
  <c r="D49" i="15"/>
  <c r="E49" s="1"/>
  <c r="D47"/>
  <c r="E47" s="1"/>
  <c r="E53" i="3"/>
  <c r="D55" i="15"/>
  <c r="E55" s="1"/>
  <c r="E76" i="3"/>
  <c r="E36"/>
  <c r="D38" i="15"/>
  <c r="E38" s="1"/>
  <c r="F109" i="5"/>
  <c r="D72" i="15"/>
  <c r="E72" s="1"/>
  <c r="E97" i="3"/>
  <c r="E112" i="1"/>
  <c r="D45" i="15"/>
  <c r="E45" s="1"/>
  <c r="D82"/>
  <c r="N87" i="2"/>
  <c r="D67" i="15"/>
  <c r="E67" s="1"/>
  <c r="D83"/>
  <c r="E108" i="7"/>
  <c r="E94" i="8"/>
  <c r="C157" i="2"/>
  <c r="D91" i="13"/>
  <c r="D91" i="14"/>
  <c r="D91" i="12"/>
  <c r="E98" i="3"/>
  <c r="D63" i="15"/>
  <c r="E63" s="1"/>
  <c r="D11"/>
  <c r="E11" s="1"/>
  <c r="D65"/>
  <c r="E65" s="1"/>
  <c r="D70"/>
  <c r="E70" s="1"/>
  <c r="D7"/>
  <c r="E7" s="1"/>
  <c r="E23"/>
  <c r="E25"/>
  <c r="D41"/>
  <c r="E41" s="1"/>
  <c r="D39"/>
  <c r="E39" s="1"/>
  <c r="D35"/>
  <c r="E35" s="1"/>
  <c r="D37"/>
  <c r="E37" s="1"/>
  <c r="B24" i="16"/>
  <c r="D43" i="10"/>
  <c r="E43" s="1"/>
  <c r="D43" i="11"/>
  <c r="E43" s="1"/>
  <c r="D59" i="15"/>
  <c r="E59" s="1"/>
  <c r="E107" i="10"/>
  <c r="D58" i="15"/>
  <c r="E58" s="1"/>
  <c r="D86" i="14"/>
  <c r="E86" s="1"/>
  <c r="D107" i="9"/>
  <c r="E107" s="1"/>
  <c r="K108" i="2"/>
  <c r="D107" i="11"/>
  <c r="E107" s="1"/>
  <c r="D86" i="13"/>
  <c r="E86" s="1"/>
  <c r="N24" i="1"/>
  <c r="D92" i="7"/>
  <c r="D91" i="6"/>
  <c r="D33" i="15"/>
  <c r="E33" s="1"/>
  <c r="F106" i="10"/>
  <c r="F106" i="14"/>
  <c r="K25" i="2"/>
  <c r="F109" i="8"/>
  <c r="F106" i="6"/>
  <c r="F106" i="12"/>
  <c r="J107" i="2"/>
  <c r="F107" i="7"/>
  <c r="F106" i="13"/>
  <c r="Q107" i="2"/>
  <c r="F106" i="11"/>
  <c r="F106" i="9"/>
  <c r="D25" i="5"/>
  <c r="D109" s="1"/>
  <c r="E19" i="8"/>
  <c r="S25" i="1"/>
  <c r="J109" i="2"/>
  <c r="Q109"/>
  <c r="J110"/>
  <c r="Q110"/>
  <c r="K96"/>
  <c r="M112" i="1"/>
  <c r="I110" i="2" s="1"/>
  <c r="C108" i="11"/>
  <c r="C24" i="9"/>
  <c r="K109" i="1"/>
  <c r="C106" i="9" s="1"/>
  <c r="D86" i="6"/>
  <c r="E86" s="1"/>
  <c r="D87" i="7"/>
  <c r="E87" s="1"/>
  <c r="D86" i="9"/>
  <c r="E86" s="1"/>
  <c r="D86" i="11"/>
  <c r="E86" s="1"/>
  <c r="D86" i="10"/>
  <c r="E86" s="1"/>
  <c r="E90" i="7"/>
  <c r="H90"/>
  <c r="H88" i="9"/>
  <c r="E88"/>
  <c r="H89"/>
  <c r="E89"/>
  <c r="N108" i="2"/>
  <c r="H72" i="7"/>
  <c r="E72"/>
  <c r="D77" i="15"/>
  <c r="E77" s="1"/>
  <c r="E71" i="9"/>
  <c r="H71"/>
  <c r="D55" i="11"/>
  <c r="E55" s="1"/>
  <c r="D55" i="10"/>
  <c r="E55" s="1"/>
  <c r="D55" i="9"/>
  <c r="E55" s="1"/>
  <c r="E55" i="2"/>
  <c r="E57" i="8"/>
  <c r="D55" i="7"/>
  <c r="E55" s="1"/>
  <c r="D55" i="6"/>
  <c r="E55" s="1"/>
  <c r="N53" i="2"/>
  <c r="B23" i="16"/>
  <c r="V98" i="1"/>
  <c r="M98" i="2" s="1"/>
  <c r="N48"/>
  <c r="B22" i="16"/>
  <c r="I107" i="2"/>
  <c r="C106" i="11"/>
  <c r="G136" i="2"/>
  <c r="C145"/>
  <c r="F145" s="1"/>
  <c r="N16"/>
  <c r="N19"/>
  <c r="C146"/>
  <c r="F146" s="1"/>
  <c r="N17"/>
  <c r="C147"/>
  <c r="F147" s="1"/>
  <c r="N18"/>
  <c r="C137"/>
  <c r="F137" s="1"/>
  <c r="N8"/>
  <c r="P89"/>
  <c r="C144"/>
  <c r="F144" s="1"/>
  <c r="N15"/>
  <c r="C136"/>
  <c r="F136" s="1"/>
  <c r="N7"/>
  <c r="C138"/>
  <c r="F138" s="1"/>
  <c r="N9"/>
  <c r="E109" i="1"/>
  <c r="D26" i="6"/>
  <c r="E26" s="1"/>
  <c r="D26" i="7"/>
  <c r="E26" s="1"/>
  <c r="D26" i="11"/>
  <c r="E26" s="1"/>
  <c r="D26" i="9"/>
  <c r="E26" s="1"/>
  <c r="D26" i="10"/>
  <c r="E26" s="1"/>
  <c r="F111" i="1"/>
  <c r="E27" i="8"/>
  <c r="P111" i="21"/>
  <c r="P115" s="1"/>
  <c r="S110"/>
  <c r="S111" s="1"/>
  <c r="R110"/>
  <c r="R111" s="1"/>
  <c r="T110"/>
  <c r="T111" s="1"/>
  <c r="E111"/>
  <c r="R111" i="1"/>
  <c r="R112" s="1"/>
  <c r="D13" i="15"/>
  <c r="E13" s="1"/>
  <c r="E6"/>
  <c r="N109" i="1"/>
  <c r="F109"/>
  <c r="C109" i="2" s="1"/>
  <c r="D73" i="15"/>
  <c r="E73" s="1"/>
  <c r="G145" i="2"/>
  <c r="D78" i="15"/>
  <c r="E78" s="1"/>
  <c r="D52"/>
  <c r="E52" s="1"/>
  <c r="J109" i="1"/>
  <c r="G137" i="2"/>
  <c r="D29" i="15"/>
  <c r="E29" s="1"/>
  <c r="D18" i="11"/>
  <c r="D18" i="9"/>
  <c r="E18" s="1"/>
  <c r="D18" i="10"/>
  <c r="E18" s="1"/>
  <c r="U25" i="1"/>
  <c r="D18" i="7"/>
  <c r="E18" s="1"/>
  <c r="D18" i="6"/>
  <c r="E18" s="1"/>
  <c r="T25" i="1"/>
  <c r="G147" i="2"/>
  <c r="D50" i="15"/>
  <c r="E50" s="1"/>
  <c r="G146" i="2"/>
  <c r="C112" i="5"/>
  <c r="D112" s="1"/>
  <c r="D113" i="1"/>
  <c r="N111"/>
  <c r="C108" i="9"/>
  <c r="K112" i="1"/>
  <c r="I112"/>
  <c r="D78" i="6"/>
  <c r="E78" s="1"/>
  <c r="D79" i="7"/>
  <c r="E79" s="1"/>
  <c r="C109" i="6"/>
  <c r="C110"/>
  <c r="F109" i="12"/>
  <c r="F109" i="11"/>
  <c r="F109" i="14"/>
  <c r="F110" i="7"/>
  <c r="F112" i="8"/>
  <c r="F109" i="13"/>
  <c r="F109" i="9"/>
  <c r="F109" i="10"/>
  <c r="F109" i="6"/>
  <c r="C117" i="15"/>
  <c r="D117" s="1"/>
  <c r="G112" i="1"/>
  <c r="C112" i="4" s="1"/>
  <c r="P113" i="1"/>
  <c r="C109" i="12"/>
  <c r="C109" i="13"/>
  <c r="D78" i="11"/>
  <c r="E78" s="1"/>
  <c r="D78" i="10"/>
  <c r="E78" s="1"/>
  <c r="D78" i="9"/>
  <c r="E78" s="1"/>
  <c r="L112" i="1"/>
  <c r="C108" i="10"/>
  <c r="F108" i="14"/>
  <c r="F109" i="7"/>
  <c r="F108" i="13"/>
  <c r="F108" i="9"/>
  <c r="F108" i="10"/>
  <c r="F108" i="6"/>
  <c r="F111" i="8"/>
  <c r="F108" i="12"/>
  <c r="F108" i="11"/>
  <c r="D107" i="14"/>
  <c r="E107" s="1"/>
  <c r="D107" i="13"/>
  <c r="E107" s="1"/>
  <c r="D107" i="12"/>
  <c r="E107" s="1"/>
  <c r="H6"/>
  <c r="E6"/>
  <c r="D78" i="14"/>
  <c r="E78" s="1"/>
  <c r="D78" i="13"/>
  <c r="E78" s="1"/>
  <c r="D78" i="12"/>
  <c r="E78" s="1"/>
  <c r="D26"/>
  <c r="E26" s="1"/>
  <c r="D26" i="14"/>
  <c r="E26" s="1"/>
  <c r="D26" i="13"/>
  <c r="E26" s="1"/>
  <c r="E6" i="14"/>
  <c r="H6"/>
  <c r="D55"/>
  <c r="E55" s="1"/>
  <c r="D55" i="13"/>
  <c r="E55" s="1"/>
  <c r="D55" i="12"/>
  <c r="E55" s="1"/>
  <c r="H6" i="13"/>
  <c r="E6"/>
  <c r="D60" i="7"/>
  <c r="E60" s="1"/>
  <c r="T98" i="1"/>
  <c r="D60" i="6"/>
  <c r="E60" s="1"/>
  <c r="E62" i="8"/>
  <c r="S98" i="1"/>
  <c r="D60" i="11"/>
  <c r="E60" s="1"/>
  <c r="U98" i="1"/>
  <c r="D60" i="9"/>
  <c r="E60" s="1"/>
  <c r="D60" i="10"/>
  <c r="E60" s="1"/>
  <c r="D60" i="14"/>
  <c r="E60" s="1"/>
  <c r="D60" i="13"/>
  <c r="E60" s="1"/>
  <c r="D60" i="12"/>
  <c r="E60" s="1"/>
  <c r="U109" i="21"/>
  <c r="Q110"/>
  <c r="Y18"/>
  <c r="V25" i="1"/>
  <c r="M25" i="2" s="1"/>
  <c r="D18" i="14"/>
  <c r="D18" i="13"/>
  <c r="D18" i="12"/>
  <c r="R109" i="1"/>
  <c r="I113" l="1"/>
  <c r="E19" i="3"/>
  <c r="D25"/>
  <c r="D109" s="1"/>
  <c r="D19" i="4"/>
  <c r="D111"/>
  <c r="E111" s="1"/>
  <c r="D112"/>
  <c r="E112" s="1"/>
  <c r="E81" i="3"/>
  <c r="D81" i="4"/>
  <c r="E81" s="1"/>
  <c r="K111" i="2"/>
  <c r="Q111"/>
  <c r="E111" i="5"/>
  <c r="E25"/>
  <c r="C112" i="2"/>
  <c r="C111"/>
  <c r="E95"/>
  <c r="D98"/>
  <c r="E98" s="1"/>
  <c r="C109" i="11"/>
  <c r="C156" i="2"/>
  <c r="F156" s="1"/>
  <c r="C112" i="3"/>
  <c r="M113" i="1"/>
  <c r="I111" i="2" s="1"/>
  <c r="E113" i="1"/>
  <c r="F114" s="1"/>
  <c r="C109" i="3"/>
  <c r="K107" i="2"/>
  <c r="D81" i="15"/>
  <c r="C113" i="5"/>
  <c r="D113" s="1"/>
  <c r="D108" i="6"/>
  <c r="E108" s="1"/>
  <c r="E98" i="5"/>
  <c r="S109" i="1"/>
  <c r="D26" i="15"/>
  <c r="E26" s="1"/>
  <c r="T111" i="1"/>
  <c r="D109" i="7" s="1"/>
  <c r="E109" s="1"/>
  <c r="E25" i="8"/>
  <c r="K109" i="2"/>
  <c r="K110"/>
  <c r="S111" i="1"/>
  <c r="D111" i="2" s="1"/>
  <c r="E111" s="1"/>
  <c r="C155"/>
  <c r="F155" s="1"/>
  <c r="N79"/>
  <c r="B25" i="16"/>
  <c r="C154" i="2"/>
  <c r="C153"/>
  <c r="F153" s="1"/>
  <c r="V111" i="1"/>
  <c r="N96" i="2"/>
  <c r="N27"/>
  <c r="C152"/>
  <c r="F152" s="1"/>
  <c r="P92"/>
  <c r="Q92" s="1"/>
  <c r="P90"/>
  <c r="Q90" s="1"/>
  <c r="P91"/>
  <c r="Q91" s="1"/>
  <c r="D21" i="15"/>
  <c r="E21" s="1"/>
  <c r="V109" i="1"/>
  <c r="B21" i="16"/>
  <c r="R113" i="1"/>
  <c r="U111"/>
  <c r="D108" i="11" s="1"/>
  <c r="E108" s="1"/>
  <c r="D24" i="6"/>
  <c r="E24" s="1"/>
  <c r="D24" i="7"/>
  <c r="E24" s="1"/>
  <c r="T109" i="1"/>
  <c r="D24" i="10"/>
  <c r="E24" s="1"/>
  <c r="D24" i="9"/>
  <c r="E24" s="1"/>
  <c r="U109" i="1"/>
  <c r="D24" i="11"/>
  <c r="E24" s="1"/>
  <c r="E18"/>
  <c r="C109" i="10"/>
  <c r="L113" i="1"/>
  <c r="C118" i="15"/>
  <c r="G113" i="1"/>
  <c r="G116" s="1"/>
  <c r="K113"/>
  <c r="C110" i="9" s="1"/>
  <c r="C109"/>
  <c r="C110" i="13"/>
  <c r="C110" i="12"/>
  <c r="N112" i="1"/>
  <c r="D95" i="13"/>
  <c r="E95" s="1"/>
  <c r="D95" i="14"/>
  <c r="E95" s="1"/>
  <c r="D95" i="12"/>
  <c r="E95" s="1"/>
  <c r="C110" i="11"/>
  <c r="S112" i="1"/>
  <c r="C113" i="2"/>
  <c r="D96" i="7"/>
  <c r="D95" i="6"/>
  <c r="E95" s="1"/>
  <c r="D95" i="10"/>
  <c r="E95" s="1"/>
  <c r="D95" i="9"/>
  <c r="D95" i="11"/>
  <c r="E95" s="1"/>
  <c r="E98" i="8"/>
  <c r="U110" i="21"/>
  <c r="U111" s="1"/>
  <c r="Q111"/>
  <c r="D24" i="14"/>
  <c r="E24" s="1"/>
  <c r="E18"/>
  <c r="D24" i="12"/>
  <c r="E24" s="1"/>
  <c r="E18"/>
  <c r="D24" i="13"/>
  <c r="E24" s="1"/>
  <c r="E18"/>
  <c r="E19" i="4" l="1"/>
  <c r="D25"/>
  <c r="D106" i="12"/>
  <c r="M109" i="2"/>
  <c r="N109" s="1"/>
  <c r="E112" i="3"/>
  <c r="E109"/>
  <c r="E110"/>
  <c r="E111"/>
  <c r="D108" i="14"/>
  <c r="E108" s="1"/>
  <c r="M111" i="2"/>
  <c r="E109"/>
  <c r="D112"/>
  <c r="E112" s="1"/>
  <c r="E109" i="5"/>
  <c r="C113" i="3"/>
  <c r="E115" i="1"/>
  <c r="E25" i="3"/>
  <c r="D27" i="15"/>
  <c r="E27" s="1"/>
  <c r="E112" i="5"/>
  <c r="U112" i="1"/>
  <c r="D109" i="11" s="1"/>
  <c r="E109" s="1"/>
  <c r="D115" i="15"/>
  <c r="D106" i="14"/>
  <c r="E106" s="1"/>
  <c r="D106" i="13"/>
  <c r="E106" s="1"/>
  <c r="V112" i="1"/>
  <c r="D108" i="10"/>
  <c r="E108" s="1"/>
  <c r="D108" i="13"/>
  <c r="E108" s="1"/>
  <c r="D108" i="9"/>
  <c r="E108" s="1"/>
  <c r="Q93" i="2"/>
  <c r="N107"/>
  <c r="N25"/>
  <c r="C149"/>
  <c r="F149" s="1"/>
  <c r="D108" i="12"/>
  <c r="E108" s="1"/>
  <c r="T112" i="1"/>
  <c r="D110" i="7" s="1"/>
  <c r="E110" s="1"/>
  <c r="B27" i="16"/>
  <c r="C21" s="1"/>
  <c r="D106" i="11"/>
  <c r="E106" s="1"/>
  <c r="D106" i="9"/>
  <c r="E106" s="1"/>
  <c r="D106" i="10"/>
  <c r="E106" s="1"/>
  <c r="D106" i="6"/>
  <c r="E106" s="1"/>
  <c r="D107" i="7"/>
  <c r="E107" s="1"/>
  <c r="C119" i="15"/>
  <c r="D118"/>
  <c r="N113" i="1"/>
  <c r="C110" i="10"/>
  <c r="J113" i="1"/>
  <c r="E95" i="9"/>
  <c r="H95"/>
  <c r="C158" i="2"/>
  <c r="F154"/>
  <c r="D113"/>
  <c r="H96" i="7"/>
  <c r="E96"/>
  <c r="E106" i="12"/>
  <c r="E25" i="4" l="1"/>
  <c r="D109"/>
  <c r="M112" i="2"/>
  <c r="D109" i="9"/>
  <c r="E109" s="1"/>
  <c r="D110" i="6"/>
  <c r="D119" i="15"/>
  <c r="C122" s="1"/>
  <c r="D109" i="14"/>
  <c r="E109" s="1"/>
  <c r="N110" i="2"/>
  <c r="D109" i="10"/>
  <c r="E109" s="1"/>
  <c r="D109" i="12"/>
  <c r="E109" s="1"/>
  <c r="V113" i="1"/>
  <c r="M113" i="2" s="1"/>
  <c r="D109" i="13"/>
  <c r="E109" s="1"/>
  <c r="U113" i="1"/>
  <c r="D110" i="9" s="1"/>
  <c r="T113" i="1"/>
  <c r="D111" i="7" s="1"/>
  <c r="C24" i="16"/>
  <c r="C23"/>
  <c r="C25"/>
  <c r="C22"/>
  <c r="G149" i="2"/>
  <c r="G153"/>
  <c r="C165"/>
  <c r="G157"/>
  <c r="G156"/>
  <c r="G155"/>
  <c r="F158"/>
  <c r="G152"/>
  <c r="G154"/>
  <c r="E109" i="4" l="1"/>
  <c r="D109" i="6"/>
  <c r="E109" s="1"/>
  <c r="D110" i="14"/>
  <c r="D110" i="10"/>
  <c r="D110" i="11"/>
  <c r="D110" i="12"/>
  <c r="D112"/>
  <c r="D110" i="13"/>
</calcChain>
</file>

<file path=xl/sharedStrings.xml><?xml version="1.0" encoding="utf-8"?>
<sst xmlns="http://schemas.openxmlformats.org/spreadsheetml/2006/main" count="719" uniqueCount="243">
  <si>
    <t>Convention contributions - 20% of tithes &amp; offerings</t>
  </si>
  <si>
    <t>Conference contributions - 7% of tithes &amp; offerings</t>
  </si>
  <si>
    <t>Association contributions - 3% of tithes &amp; offerings</t>
  </si>
  <si>
    <t>Benevolence</t>
  </si>
  <si>
    <t>Church decorations</t>
  </si>
  <si>
    <t>Sanctuary supplies</t>
  </si>
  <si>
    <t>Randalpha MFB</t>
  </si>
  <si>
    <t>Tithes</t>
  </si>
  <si>
    <t>Offering</t>
  </si>
  <si>
    <t>Thanksgiving</t>
  </si>
  <si>
    <t>Bank interest</t>
  </si>
  <si>
    <t>1st quarter</t>
  </si>
  <si>
    <t>Apr</t>
  </si>
  <si>
    <t>May</t>
  </si>
  <si>
    <t>Jun</t>
  </si>
  <si>
    <t>2nd quarter</t>
  </si>
  <si>
    <t>Jul</t>
  </si>
  <si>
    <t>Aug</t>
  </si>
  <si>
    <t>Sep</t>
  </si>
  <si>
    <t>3rd quarter</t>
  </si>
  <si>
    <t>Oct</t>
  </si>
  <si>
    <t>Nov</t>
  </si>
  <si>
    <t>Dec</t>
  </si>
  <si>
    <t>4th quarter</t>
  </si>
  <si>
    <t>Jan</t>
  </si>
  <si>
    <t>Feb</t>
  </si>
  <si>
    <t>Mar</t>
  </si>
  <si>
    <t>Jan - Sep</t>
  </si>
  <si>
    <t>Jan - Dec</t>
  </si>
  <si>
    <t>Control</t>
  </si>
  <si>
    <t>NEW SPRING BAPTIST CHURCH, YAKU AREA OGBOMOSO</t>
  </si>
  <si>
    <t>Amount ₦</t>
  </si>
  <si>
    <t>Access Bank</t>
  </si>
  <si>
    <t>Total Expenditure</t>
  </si>
  <si>
    <t>CONSOLIDATED INCOME &amp; EXPENDITURE REPORT</t>
  </si>
  <si>
    <t>Total expenditure on new auditorium</t>
  </si>
  <si>
    <t>General expenditure including amount transferred to building fund</t>
  </si>
  <si>
    <t>Jan - Jun</t>
  </si>
  <si>
    <t xml:space="preserve">Sunday School </t>
  </si>
  <si>
    <t>Jan-Mar</t>
  </si>
  <si>
    <t>INCOME</t>
  </si>
  <si>
    <t>YEAR-TO-DATE</t>
  </si>
  <si>
    <t>Building (cash and kind)</t>
  </si>
  <si>
    <t>No.</t>
  </si>
  <si>
    <t>Property Committee</t>
  </si>
  <si>
    <t>Media/Sound Unit</t>
  </si>
  <si>
    <t>Church Maintenance</t>
  </si>
  <si>
    <t>Visitation Committee</t>
  </si>
  <si>
    <t>WMU</t>
  </si>
  <si>
    <t>Hospitality Committee</t>
  </si>
  <si>
    <t>Childrens' Department</t>
  </si>
  <si>
    <t>Youth Fellowship</t>
  </si>
  <si>
    <t>Drama Committee</t>
  </si>
  <si>
    <t>Ushers Committee</t>
  </si>
  <si>
    <t>Health Committee</t>
  </si>
  <si>
    <t>Music Department</t>
  </si>
  <si>
    <t>Discipleship Department</t>
  </si>
  <si>
    <t>B. CHURCH STAFF</t>
  </si>
  <si>
    <t>Church Pastor (salaries and allowances)</t>
  </si>
  <si>
    <t>Other Pastors</t>
  </si>
  <si>
    <t>C. OPERATION COSTS</t>
  </si>
  <si>
    <t>Ogbomoso Conference</t>
  </si>
  <si>
    <t>Church Council refreshments</t>
  </si>
  <si>
    <t>Church secreteriat</t>
  </si>
  <si>
    <t>Convention session</t>
  </si>
  <si>
    <t>Keep fit instructor</t>
  </si>
  <si>
    <t>D. NEW AUDITORIUM &amp; OTHER PROJECTS</t>
  </si>
  <si>
    <t>E. COOPERATIVE FUNDS</t>
  </si>
  <si>
    <t>% OF ANNUAL BUDGET</t>
  </si>
  <si>
    <t>ANNUAL BUDGET</t>
  </si>
  <si>
    <t>Loan refund</t>
  </si>
  <si>
    <t>Total expenditure: new auditorium &amp; general</t>
  </si>
  <si>
    <t xml:space="preserve">                               Randalapha MFB</t>
  </si>
  <si>
    <t xml:space="preserve">                               Access Bank (Building fund)</t>
  </si>
  <si>
    <t>First Bank of Nigeria</t>
  </si>
  <si>
    <t>B/F from previous month/quarter: First Bank of Nigeria</t>
  </si>
  <si>
    <t>A. CHURCH MINISTRIES</t>
  </si>
  <si>
    <t>Evangelism Committee</t>
  </si>
  <si>
    <t xml:space="preserve">Bank charges: sms, maintenance, VAT etc. </t>
  </si>
  <si>
    <t>Electricity - Pastorium</t>
  </si>
  <si>
    <t>Electricity - church auditorium</t>
  </si>
  <si>
    <t xml:space="preserve">Pastorium rent &amp; maintenance </t>
  </si>
  <si>
    <t>Generators - fuel and maintenance pastorium</t>
  </si>
  <si>
    <t>Generators - fuel and maintenance church auditorium</t>
  </si>
  <si>
    <t>Newspaper</t>
  </si>
  <si>
    <t xml:space="preserve">Ministers' Conference </t>
  </si>
  <si>
    <t>Bank charges - Access bank</t>
  </si>
  <si>
    <t>Church electrification</t>
  </si>
  <si>
    <t>EXPENDITURE</t>
  </si>
  <si>
    <t>MMU</t>
  </si>
  <si>
    <t>THIS MONTH</t>
  </si>
  <si>
    <t>Pastors Wives' retreat</t>
  </si>
  <si>
    <t>MARCH</t>
  </si>
  <si>
    <t>Notes:</t>
  </si>
  <si>
    <t>100000- to building fund</t>
  </si>
  <si>
    <t>71,000 (50000 - pastorium rent, 18000 fuel, 1500 council refreshment, 1500 ss retreat)</t>
  </si>
  <si>
    <t>pension premium 17248</t>
  </si>
  <si>
    <t>cash n transit 34740</t>
  </si>
  <si>
    <t>New auditorium</t>
  </si>
  <si>
    <t>STATUS AS OF APRIL 30, 2017</t>
  </si>
  <si>
    <t>F. DESIGNATED SAVINGS</t>
  </si>
  <si>
    <t>pension feb nd mar 34496</t>
  </si>
  <si>
    <t>convention 98406</t>
  </si>
  <si>
    <t>INTERIM TREASURER'S MONTHLY REPORT 2017</t>
  </si>
  <si>
    <t>1. This is an interim report because there was not an adequate time to balance the book for this meeting. The final report for this month will be presented alongside May 2017 report by which time it is anticipated that the current issues would have been sorted out.</t>
  </si>
  <si>
    <t>2. The balance reported against First Bank account is the real balance after allowance has been made for cheques that have been issued and have not been cleared. These are: N100,000 transferred to Access Bank (new auditorium account), N71,000 for N50,000 compulsory savings towards pastorium rent and land purchase, fuel for generators for the month of May (N18,000), N1,500 for council refreshment for May 2017, and N1,500 Sunday School retreat. Others include pension premium for Pastor for February, March and April 2017 totalling N51,744, Convention cooperatve contribution for March 2017 and cash of N34,740 received on Sunday April 30 that could not be deposited on that day but has been recorded as part of April transactions.</t>
  </si>
  <si>
    <t>3. The sum of N450,000 reported as expenditure (designated savings) is part of the balances in Access Bank and Randaalpha Microfinance Bank.</t>
  </si>
  <si>
    <t>4. There is theneed to release the sum of N112,100 to the new auditorium fund which was charged in error in January when the electrification project for the church building was implemented.</t>
  </si>
  <si>
    <t>Total Income/Available cash</t>
  </si>
  <si>
    <t>Development loan refund</t>
  </si>
  <si>
    <t>Designated offering towards Praise Festival</t>
  </si>
  <si>
    <t>AUGUST</t>
  </si>
  <si>
    <t>Total income this reporting period</t>
  </si>
  <si>
    <t xml:space="preserve">TITHES </t>
  </si>
  <si>
    <t xml:space="preserve"> THANKSGIVING </t>
  </si>
  <si>
    <t xml:space="preserve"> BENEVOLENCE </t>
  </si>
  <si>
    <t xml:space="preserve"> BUILDING (CASH AND KIND) </t>
  </si>
  <si>
    <t xml:space="preserve"> SUNDAY SCHOOL  </t>
  </si>
  <si>
    <t xml:space="preserve"> BANK INTEREST </t>
  </si>
  <si>
    <t>TOTAL</t>
  </si>
  <si>
    <t>G. CASH BALANCE IN THE BANK ACCOUNTS</t>
  </si>
  <si>
    <t>DIFFERENCE BETWEEN INCOME &amp; EXPENDITURE</t>
  </si>
  <si>
    <t>Gift-in-kind towards church auditorium</t>
  </si>
  <si>
    <t>Imprest account (cash on hand)</t>
  </si>
  <si>
    <t xml:space="preserve">                               Imprest Account (Cash on hand)</t>
  </si>
  <si>
    <t>Balances in the church's accounts plus imprest account</t>
  </si>
  <si>
    <t>Pastorium land surveying (balance payment)</t>
  </si>
  <si>
    <t>AMOUNT</t>
  </si>
  <si>
    <t>Home Mission offering</t>
  </si>
  <si>
    <t>Foreign Mission offering</t>
  </si>
  <si>
    <t>SEPTEMBER</t>
  </si>
  <si>
    <t>OCTOBER</t>
  </si>
  <si>
    <t>Total income</t>
  </si>
  <si>
    <t>Total expenditure</t>
  </si>
  <si>
    <t>Nominating</t>
  </si>
  <si>
    <t>Exemplary Youth Award</t>
  </si>
  <si>
    <t>Personnel</t>
  </si>
  <si>
    <t>External Affairs</t>
  </si>
  <si>
    <t>Stewardship</t>
  </si>
  <si>
    <t>Janitor</t>
  </si>
  <si>
    <t>Less Unpresented cheques - FBN</t>
  </si>
  <si>
    <t>Add Cash/Cheque in-transit - FBN</t>
  </si>
  <si>
    <t>Add Cash/Cheque in-transit - Access Bank</t>
  </si>
  <si>
    <t>Less Uncleared cheque - Access Bank</t>
  </si>
  <si>
    <t>Annual Budget</t>
  </si>
  <si>
    <t>End of year outreach - Heaven's Link Praise Festival</t>
  </si>
  <si>
    <t>e</t>
  </si>
  <si>
    <t>Imprest</t>
  </si>
  <si>
    <t>New  auditorium - lintel and decking</t>
  </si>
  <si>
    <t>Procurement of plastic chairs</t>
  </si>
  <si>
    <t>% YEAR-TO-DATE CONTRIBUTION OF TOTAL ANNUAL BUDGET</t>
  </si>
  <si>
    <t>YEAR-TO-DATE         (JAN-JUN 2019)</t>
  </si>
  <si>
    <t>1. The sum of ₦238,175 is what has been transferred from the general account to the building account during the quarter and ₦510,335 since the beginning of the this amount has not been spent as of June 30, 2019. However, before the end of July 2019 this amount and even more will be fully expended.</t>
  </si>
  <si>
    <t>Pastorium (rent, development of land etc.)</t>
  </si>
  <si>
    <t>Designated offering towards cooperative dues</t>
  </si>
  <si>
    <t>NOVEMBER</t>
  </si>
  <si>
    <t>DECEMBER</t>
  </si>
  <si>
    <t>Miscellanous (honorarium for supervisor+graduation gifts+Yaku community+honorarium to instrumentalists)+ Elders' appreciation+ donation towards Conference bus</t>
  </si>
  <si>
    <t>INCOME BROUGHT FORWARD FROM 2019</t>
  </si>
  <si>
    <t>SUMMARY BY MAJOR LINE ITEMS - ANNUAL PERFORMANCE</t>
  </si>
  <si>
    <t>Workers' retreat organized by the (church + Conference)</t>
  </si>
  <si>
    <t>Total B/F from 2019 or last month or quarter</t>
  </si>
  <si>
    <t>Income from all sources, including B/F from 2019</t>
  </si>
  <si>
    <t>TREASURER'S MONTHLY REPORT 2020</t>
  </si>
  <si>
    <t>Designated - Teenagers' Church</t>
  </si>
  <si>
    <t>Teenagers</t>
  </si>
  <si>
    <t>Designated offering towards borehole</t>
  </si>
  <si>
    <t>Appreciation service for Pastor</t>
  </si>
  <si>
    <t>3RD QUARTER                   (JUL - SEP 2020)</t>
  </si>
  <si>
    <t>YEAR-TO-DATE                                                (JAN-SEP 2020)</t>
  </si>
  <si>
    <t>4TH QUARTER                   (OCT - DEC 2020)</t>
  </si>
  <si>
    <t>JULY 2020</t>
  </si>
  <si>
    <t>STATUS AS OF 31 AUGUST, 2020</t>
  </si>
  <si>
    <t>Miscellanous (transport for janitor while on errands, booklaunch, community CSR, church auditorium, ordination gift)</t>
  </si>
  <si>
    <t>STATUS AS OF 31 DECEMBER, 2020</t>
  </si>
  <si>
    <t xml:space="preserve">Notes: 1. The balance in the FBN looks high based on this report. The truth is that expenditures such as transfer to building account, cooperative dues etc. were not charged. The cheques for these charges totalling over N721,000 have been written and some of them already cashed in October and only a small amount will be left as balance in this account </t>
  </si>
  <si>
    <t>STATUS AS OF 30 SEPTEMBER, 2020</t>
  </si>
  <si>
    <t>1 binding wire  = 10,000</t>
  </si>
  <si>
    <t>1/2bag 5" nail. =. 4,100</t>
  </si>
  <si>
    <t>2*12*12, 15@1,800=27,000</t>
  </si>
  <si>
    <t>Transportation = 4,500</t>
  </si>
  <si>
    <t>Total. =97,600.</t>
  </si>
  <si>
    <t>Thanks for your prompt response.</t>
  </si>
  <si>
    <t>[15:42, 11/5/2020] Yemi Alamu: Sir, I was told the carpenter has agreed to take #40,000 for the job.</t>
  </si>
  <si>
    <t>The total amount is #137,600</t>
  </si>
  <si>
    <t>150Bamboo@350=52,500</t>
  </si>
  <si>
    <t>STATUS AS OF 31 OCTOBER, 2020</t>
  </si>
  <si>
    <t>STATUS AS OF 30 NOVEMBER, 2020</t>
  </si>
  <si>
    <t>oo.</t>
  </si>
  <si>
    <t>% OF AooUAL BUDGET</t>
  </si>
  <si>
    <t>AooUAL BUDGET</t>
  </si>
  <si>
    <t>Association</t>
  </si>
  <si>
    <t>Conference</t>
  </si>
  <si>
    <t>Convention</t>
  </si>
  <si>
    <t>Designated - Church signpost</t>
  </si>
  <si>
    <t>Erection of new sign posts</t>
  </si>
  <si>
    <t>Suspense account</t>
  </si>
  <si>
    <t>YEAR-TO-DATE                                                (JAN-DEC 2020)</t>
  </si>
  <si>
    <t>BOREHOLE</t>
  </si>
  <si>
    <t>PRAISE FESTIVAL</t>
  </si>
  <si>
    <t>FOREIGN MISSION</t>
  </si>
  <si>
    <t>HOME MISSION</t>
  </si>
  <si>
    <t>CHURCH SIGNPOST</t>
  </si>
  <si>
    <t>TEENAGERS' CHURCH</t>
  </si>
  <si>
    <t xml:space="preserve"> OFFERINGS </t>
  </si>
  <si>
    <t>paid along with January 2021 contributions.</t>
  </si>
  <si>
    <t>Motorcycle</t>
  </si>
  <si>
    <t>Assoc</t>
  </si>
  <si>
    <t>Conf</t>
  </si>
  <si>
    <t>Conve</t>
  </si>
  <si>
    <t>TREASURER'S MONTHLY REPORT 2021</t>
  </si>
  <si>
    <t>STATUS AS OF JANUARY 31, 2021</t>
  </si>
  <si>
    <t>Diaconate</t>
  </si>
  <si>
    <t>10th Year anniversary celebrations</t>
  </si>
  <si>
    <t>Borehole</t>
  </si>
  <si>
    <t>Pastor's retirement 2025</t>
  </si>
  <si>
    <t>Miscellanous (transport for CAN Minister, honorarium for supervisor)</t>
  </si>
  <si>
    <t>STATUS AS OF FEBRUARY 28, 2021</t>
  </si>
  <si>
    <t>Income from all sources, including B/F from 2020</t>
  </si>
  <si>
    <t>Total B/F from 2020 or last month or quarter</t>
  </si>
  <si>
    <t>STATUS AS OF MARCH 31 , 2021</t>
  </si>
  <si>
    <t>New  auditorium - block work, columns and roof beam</t>
  </si>
  <si>
    <t>Association contributions - 3% of tithes &amp; SS, thanksgiving and general offerings</t>
  </si>
  <si>
    <t>Conference contributions - 7% of tithes &amp;  SS, thanksgiving and general offerings</t>
  </si>
  <si>
    <t>Convention contributions - 20% of tithes &amp; SS, thanksgiving and general  offerings</t>
  </si>
  <si>
    <t>Workers' retreat organized by the church</t>
  </si>
  <si>
    <t>1ST QUARTER                   (JAN-MAR 2021)</t>
  </si>
  <si>
    <t>YEAR-TO-DATE                                                (JAN-MAR 2021)</t>
  </si>
  <si>
    <t>-</t>
  </si>
  <si>
    <t>2. Staff salaries based on newly approved conditions of service</t>
  </si>
  <si>
    <t>4. No savings yet towards Pastor's retirement.</t>
  </si>
  <si>
    <t>STATUS AS OF APRIL 30 , 2021</t>
  </si>
  <si>
    <t>APRIL</t>
  </si>
  <si>
    <t>Row No.</t>
  </si>
  <si>
    <t>STATUS AS OF MAY 31 , 2021</t>
  </si>
  <si>
    <t>STATUS AS OF JUNE 30 , 2021</t>
  </si>
  <si>
    <t>JUNE 2021</t>
  </si>
  <si>
    <r>
      <t>PERIOD: 2</t>
    </r>
    <r>
      <rPr>
        <vertAlign val="superscript"/>
        <sz val="13"/>
        <color theme="1"/>
        <rFont val="Calibri"/>
        <family val="2"/>
        <scheme val="minor"/>
      </rPr>
      <t>ND</t>
    </r>
    <r>
      <rPr>
        <sz val="13"/>
        <color theme="1"/>
        <rFont val="Calibri"/>
        <family val="2"/>
        <scheme val="minor"/>
      </rPr>
      <t xml:space="preserve"> QUARTER - STATUS AS OF JUNE 30, 2021.</t>
    </r>
  </si>
  <si>
    <t>2ND QUARTER                   (APR - JUN 2021)</t>
  </si>
  <si>
    <t>YEAR-TO-DATE                                                (JAN-JUN 2021)</t>
  </si>
  <si>
    <t>TREASURER'S QUARTERLY REPORT</t>
  </si>
  <si>
    <t>1. Cooperative contributions paid up to April 2021, outstanding for May and June is ₦508,352.10</t>
  </si>
  <si>
    <t>3. A total sum of ₦300,000 transferred from main account during the quarter has been spent on the new auditorium.</t>
  </si>
</sst>
</file>

<file path=xl/styles.xml><?xml version="1.0" encoding="utf-8"?>
<styleSheet xmlns="http://schemas.openxmlformats.org/spreadsheetml/2006/main">
  <numFmts count="7">
    <numFmt numFmtId="43" formatCode="_(* #,##0.00_);_(* \(#,##0.00\);_(* &quot;-&quot;??_);_(@_)"/>
    <numFmt numFmtId="164" formatCode="_(* #,##0_);_(* \(#,##0\);_(* &quot;-&quot;??_);_(@_)"/>
    <numFmt numFmtId="165" formatCode="0.0%"/>
    <numFmt numFmtId="166" formatCode="_(* #,##0.000_);_(* \(#,##0.000\);_(* &quot;-&quot;??_);_(@_)"/>
    <numFmt numFmtId="167" formatCode="#,##0.00000"/>
    <numFmt numFmtId="168" formatCode="#,##0.00000_);\(#,##0.00000\)"/>
    <numFmt numFmtId="169" formatCode="#,##0.000000"/>
  </numFmts>
  <fonts count="25">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3"/>
      <color theme="1"/>
      <name val="Calibri"/>
      <family val="2"/>
      <scheme val="minor"/>
    </font>
    <font>
      <b/>
      <sz val="13"/>
      <color theme="1"/>
      <name val="Calibri"/>
      <family val="2"/>
      <scheme val="minor"/>
    </font>
    <font>
      <sz val="10"/>
      <color theme="1"/>
      <name val="Calibri"/>
      <family val="2"/>
      <scheme val="minor"/>
    </font>
    <font>
      <b/>
      <sz val="9"/>
      <color theme="1"/>
      <name val="Calibri"/>
      <family val="2"/>
      <scheme val="minor"/>
    </font>
    <font>
      <b/>
      <sz val="10"/>
      <color theme="1"/>
      <name val="Calibri"/>
      <family val="2"/>
      <scheme val="minor"/>
    </font>
    <font>
      <sz val="13"/>
      <color rgb="FF000000"/>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1"/>
      <name val="Calibri"/>
      <family val="2"/>
      <scheme val="minor"/>
    </font>
    <font>
      <sz val="16"/>
      <name val="Calibri"/>
      <family val="2"/>
      <scheme val="minor"/>
    </font>
    <font>
      <b/>
      <sz val="16"/>
      <name val="Calibri"/>
      <family val="2"/>
      <scheme val="minor"/>
    </font>
    <font>
      <u/>
      <sz val="11"/>
      <color theme="10"/>
      <name val="Calibri"/>
      <family val="2"/>
      <scheme val="minor"/>
    </font>
    <font>
      <sz val="16"/>
      <color rgb="FFFF0000"/>
      <name val="Calibri"/>
      <family val="2"/>
      <scheme val="minor"/>
    </font>
    <font>
      <vertAlign val="superscript"/>
      <sz val="13"/>
      <color theme="1"/>
      <name val="Calibri"/>
      <family val="2"/>
      <scheme val="minor"/>
    </font>
    <font>
      <sz val="12"/>
      <name val="Calibri"/>
      <family val="2"/>
      <scheme val="minor"/>
    </font>
    <font>
      <b/>
      <sz val="12"/>
      <name val="Calibri"/>
      <family val="2"/>
      <scheme val="minor"/>
    </font>
    <font>
      <sz val="12"/>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thin">
        <color indexed="64"/>
      </left>
      <right/>
      <top style="thin">
        <color indexed="64"/>
      </top>
      <bottom style="double">
        <color auto="1"/>
      </bottom>
      <diagonal/>
    </border>
    <border>
      <left style="thin">
        <color indexed="64"/>
      </left>
      <right style="double">
        <color indexed="64"/>
      </right>
      <top/>
      <bottom style="thin">
        <color indexed="64"/>
      </bottom>
      <diagonal/>
    </border>
    <border>
      <left/>
      <right style="double">
        <color auto="1"/>
      </right>
      <top/>
      <bottom style="thin">
        <color indexed="64"/>
      </bottom>
      <diagonal/>
    </border>
    <border>
      <left style="double">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bottom style="double">
        <color auto="1"/>
      </bottom>
      <diagonal/>
    </border>
    <border>
      <left/>
      <right style="double">
        <color indexed="64"/>
      </right>
      <top/>
      <bottom style="double">
        <color indexed="64"/>
      </bottom>
      <diagonal/>
    </border>
    <border>
      <left/>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style="double">
        <color indexed="64"/>
      </left>
      <right style="thin">
        <color indexed="64"/>
      </right>
      <top/>
      <bottom/>
      <diagonal/>
    </border>
    <border>
      <left style="double">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right/>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thin">
        <color indexed="64"/>
      </top>
      <bottom style="thin">
        <color indexed="64"/>
      </bottom>
      <diagonal/>
    </border>
    <border>
      <left style="thin">
        <color indexed="64"/>
      </left>
      <right style="double">
        <color indexed="64"/>
      </right>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top/>
      <bottom style="double">
        <color auto="1"/>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784">
    <xf numFmtId="0" fontId="0" fillId="0" borderId="0" xfId="0"/>
    <xf numFmtId="0" fontId="0" fillId="0" borderId="1" xfId="0" applyBorder="1"/>
    <xf numFmtId="43" fontId="0" fillId="0" borderId="0" xfId="0" applyNumberFormat="1"/>
    <xf numFmtId="43" fontId="0" fillId="0" borderId="0" xfId="1" applyFont="1"/>
    <xf numFmtId="43" fontId="0" fillId="0" borderId="1" xfId="1" applyFont="1" applyBorder="1"/>
    <xf numFmtId="4" fontId="0" fillId="0" borderId="1" xfId="0" applyNumberFormat="1" applyBorder="1" applyAlignment="1">
      <alignment horizontal="center"/>
    </xf>
    <xf numFmtId="4" fontId="0" fillId="0" borderId="1" xfId="0" applyNumberFormat="1" applyBorder="1"/>
    <xf numFmtId="43" fontId="3" fillId="0" borderId="1" xfId="1" applyFont="1" applyBorder="1"/>
    <xf numFmtId="43" fontId="3" fillId="0" borderId="1" xfId="0" applyNumberFormat="1" applyFont="1" applyBorder="1"/>
    <xf numFmtId="0" fontId="3" fillId="0" borderId="0" xfId="0" applyFont="1"/>
    <xf numFmtId="4" fontId="3" fillId="0" borderId="1" xfId="1" applyNumberFormat="1" applyFont="1" applyBorder="1" applyAlignment="1">
      <alignment horizontal="center"/>
    </xf>
    <xf numFmtId="4" fontId="0" fillId="0" borderId="0" xfId="0" applyNumberFormat="1"/>
    <xf numFmtId="0" fontId="4" fillId="0" borderId="0" xfId="0" applyFont="1"/>
    <xf numFmtId="43" fontId="4" fillId="0" borderId="1" xfId="1" applyFont="1" applyBorder="1" applyAlignment="1">
      <alignment horizontal="center"/>
    </xf>
    <xf numFmtId="43" fontId="5" fillId="0" borderId="1" xfId="1" applyFont="1" applyBorder="1" applyAlignment="1">
      <alignment horizontal="center"/>
    </xf>
    <xf numFmtId="43" fontId="4" fillId="0" borderId="0" xfId="0" applyNumberFormat="1" applyFont="1"/>
    <xf numFmtId="0" fontId="4" fillId="0" borderId="0" xfId="0" applyFont="1" applyAlignment="1">
      <alignment wrapText="1"/>
    </xf>
    <xf numFmtId="4" fontId="2" fillId="0" borderId="0" xfId="0" applyNumberFormat="1" applyFont="1"/>
    <xf numFmtId="0" fontId="0" fillId="0" borderId="11" xfId="0" applyBorder="1"/>
    <xf numFmtId="0" fontId="0" fillId="0" borderId="3" xfId="0" applyBorder="1"/>
    <xf numFmtId="0" fontId="0" fillId="0" borderId="0" xfId="0" applyAlignment="1">
      <alignment horizontal="left"/>
    </xf>
    <xf numFmtId="0" fontId="0" fillId="2" borderId="1" xfId="0" applyFill="1" applyBorder="1" applyAlignment="1">
      <alignment horizontal="left"/>
    </xf>
    <xf numFmtId="0" fontId="0" fillId="0" borderId="1" xfId="0" applyBorder="1" applyAlignment="1">
      <alignment horizontal="left"/>
    </xf>
    <xf numFmtId="4" fontId="0" fillId="0" borderId="0" xfId="0" applyNumberFormat="1" applyAlignment="1">
      <alignment horizontal="left"/>
    </xf>
    <xf numFmtId="43" fontId="0" fillId="0" borderId="1" xfId="1" applyFont="1" applyBorder="1" applyAlignment="1">
      <alignment horizontal="left"/>
    </xf>
    <xf numFmtId="43" fontId="3" fillId="0" borderId="1" xfId="1" applyFont="1" applyBorder="1" applyAlignment="1">
      <alignment horizontal="left"/>
    </xf>
    <xf numFmtId="43" fontId="0" fillId="0" borderId="1" xfId="1" applyFont="1" applyBorder="1" applyAlignment="1">
      <alignment horizontal="left" wrapText="1"/>
    </xf>
    <xf numFmtId="43" fontId="3" fillId="0" borderId="1" xfId="1" applyFont="1" applyBorder="1" applyAlignment="1">
      <alignment horizontal="left" wrapText="1"/>
    </xf>
    <xf numFmtId="43" fontId="0" fillId="0" borderId="7" xfId="1" applyFont="1" applyBorder="1" applyAlignment="1">
      <alignment horizontal="left"/>
    </xf>
    <xf numFmtId="43" fontId="0" fillId="0" borderId="7" xfId="1" applyFont="1" applyBorder="1"/>
    <xf numFmtId="43" fontId="0" fillId="0" borderId="5" xfId="1" applyFont="1" applyBorder="1"/>
    <xf numFmtId="43" fontId="3" fillId="0" borderId="1" xfId="1" applyFont="1" applyBorder="1" applyAlignment="1">
      <alignment horizontal="center"/>
    </xf>
    <xf numFmtId="0" fontId="0" fillId="0" borderId="15" xfId="0" applyBorder="1"/>
    <xf numFmtId="0" fontId="0" fillId="0" borderId="16" xfId="0" applyBorder="1"/>
    <xf numFmtId="0" fontId="3" fillId="0" borderId="2" xfId="0" applyFont="1" applyBorder="1" applyAlignment="1">
      <alignment horizontal="center"/>
    </xf>
    <xf numFmtId="43" fontId="0" fillId="0" borderId="2" xfId="0" applyNumberFormat="1" applyBorder="1"/>
    <xf numFmtId="39" fontId="0" fillId="4" borderId="1" xfId="0" applyNumberFormat="1" applyFill="1" applyBorder="1"/>
    <xf numFmtId="4" fontId="3" fillId="0" borderId="1" xfId="0" applyNumberFormat="1" applyFont="1" applyBorder="1"/>
    <xf numFmtId="0" fontId="0" fillId="0" borderId="17" xfId="0" applyBorder="1"/>
    <xf numFmtId="0" fontId="6" fillId="0" borderId="4" xfId="0" applyFont="1" applyBorder="1" applyAlignment="1">
      <alignment horizontal="center" wrapText="1"/>
    </xf>
    <xf numFmtId="0" fontId="5" fillId="0" borderId="0" xfId="0" applyFont="1"/>
    <xf numFmtId="9" fontId="0" fillId="0" borderId="4" xfId="2" applyFont="1" applyBorder="1"/>
    <xf numFmtId="165" fontId="0" fillId="0" borderId="4" xfId="2" applyNumberFormat="1" applyFont="1" applyBorder="1"/>
    <xf numFmtId="43" fontId="0" fillId="3" borderId="1" xfId="1" applyFont="1" applyFill="1" applyBorder="1"/>
    <xf numFmtId="9" fontId="0" fillId="0" borderId="0" xfId="2" applyFont="1"/>
    <xf numFmtId="9" fontId="0" fillId="0" borderId="15" xfId="2" applyFont="1" applyBorder="1"/>
    <xf numFmtId="43" fontId="0" fillId="0" borderId="17" xfId="1" applyFont="1" applyBorder="1"/>
    <xf numFmtId="43" fontId="0" fillId="0" borderId="1" xfId="1" applyFont="1" applyBorder="1" applyAlignment="1">
      <alignment vertical="center"/>
    </xf>
    <xf numFmtId="43" fontId="0" fillId="0" borderId="2" xfId="0" applyNumberFormat="1" applyBorder="1" applyAlignment="1">
      <alignment vertical="center"/>
    </xf>
    <xf numFmtId="9" fontId="0" fillId="0" borderId="4" xfId="2" applyFont="1" applyBorder="1" applyAlignment="1">
      <alignment vertical="center"/>
    </xf>
    <xf numFmtId="43" fontId="3" fillId="0" borderId="2" xfId="0" applyNumberFormat="1" applyFont="1" applyBorder="1"/>
    <xf numFmtId="43" fontId="0" fillId="4" borderId="1" xfId="1" applyFont="1" applyFill="1" applyBorder="1"/>
    <xf numFmtId="43" fontId="0" fillId="4" borderId="2" xfId="0" applyNumberFormat="1" applyFill="1" applyBorder="1"/>
    <xf numFmtId="9" fontId="0" fillId="4" borderId="4" xfId="2" applyFont="1" applyFill="1" applyBorder="1"/>
    <xf numFmtId="2" fontId="0" fillId="0" borderId="0" xfId="2" applyNumberFormat="1" applyFont="1"/>
    <xf numFmtId="0" fontId="7" fillId="0" borderId="4" xfId="0" applyFont="1" applyBorder="1" applyAlignment="1">
      <alignment horizontal="center" wrapText="1"/>
    </xf>
    <xf numFmtId="43" fontId="3" fillId="0" borderId="1" xfId="1" applyFont="1" applyBorder="1" applyAlignment="1">
      <alignment horizontal="center" vertical="center"/>
    </xf>
    <xf numFmtId="43" fontId="3" fillId="0" borderId="1" xfId="1" applyFont="1" applyBorder="1" applyAlignment="1">
      <alignment vertical="center"/>
    </xf>
    <xf numFmtId="0" fontId="3" fillId="0" borderId="2" xfId="0" applyFont="1" applyBorder="1" applyAlignment="1">
      <alignment horizontal="center" vertical="center"/>
    </xf>
    <xf numFmtId="9" fontId="3" fillId="0" borderId="4" xfId="2" applyFont="1" applyBorder="1"/>
    <xf numFmtId="39" fontId="0" fillId="0" borderId="0" xfId="0" applyNumberFormat="1"/>
    <xf numFmtId="0" fontId="0" fillId="0" borderId="0" xfId="0" applyAlignment="1">
      <alignment vertical="center"/>
    </xf>
    <xf numFmtId="0" fontId="0" fillId="0" borderId="17" xfId="0" applyBorder="1" applyAlignment="1">
      <alignment vertical="center"/>
    </xf>
    <xf numFmtId="43" fontId="3" fillId="0" borderId="2" xfId="0" applyNumberFormat="1" applyFont="1" applyBorder="1" applyAlignment="1">
      <alignment vertical="center"/>
    </xf>
    <xf numFmtId="43" fontId="3" fillId="4" borderId="1" xfId="1" applyFont="1" applyFill="1" applyBorder="1"/>
    <xf numFmtId="43" fontId="4" fillId="0" borderId="1" xfId="1" applyFont="1" applyBorder="1" applyAlignment="1">
      <alignment horizontal="center" vertical="center"/>
    </xf>
    <xf numFmtId="0" fontId="4" fillId="0" borderId="3" xfId="0" applyFont="1" applyBorder="1"/>
    <xf numFmtId="43" fontId="4" fillId="0" borderId="1" xfId="1" applyFont="1" applyBorder="1" applyAlignment="1">
      <alignment horizontal="left"/>
    </xf>
    <xf numFmtId="43" fontId="4" fillId="0" borderId="1" xfId="1" applyFont="1" applyBorder="1"/>
    <xf numFmtId="43" fontId="5" fillId="0" borderId="1" xfId="1" applyFont="1" applyBorder="1" applyAlignment="1">
      <alignment horizontal="left"/>
    </xf>
    <xf numFmtId="43" fontId="4" fillId="4" borderId="1" xfId="1" applyFont="1" applyFill="1" applyBorder="1" applyAlignment="1">
      <alignment horizontal="left"/>
    </xf>
    <xf numFmtId="43" fontId="4" fillId="0" borderId="1" xfId="1" applyFont="1" applyBorder="1" applyAlignment="1">
      <alignment horizontal="left" wrapText="1"/>
    </xf>
    <xf numFmtId="43" fontId="5" fillId="0" borderId="1" xfId="1" applyFont="1" applyBorder="1" applyAlignment="1">
      <alignment horizontal="left" wrapText="1"/>
    </xf>
    <xf numFmtId="43" fontId="4" fillId="0" borderId="5" xfId="1" applyFont="1" applyBorder="1" applyAlignment="1">
      <alignment horizontal="left" wrapText="1"/>
    </xf>
    <xf numFmtId="43" fontId="4" fillId="0" borderId="7" xfId="1" applyFont="1" applyBorder="1" applyAlignment="1">
      <alignment horizontal="left"/>
    </xf>
    <xf numFmtId="43" fontId="4" fillId="0" borderId="1" xfId="1" applyFont="1" applyBorder="1" applyAlignment="1">
      <alignment horizontal="right"/>
    </xf>
    <xf numFmtId="43" fontId="4" fillId="0" borderId="1" xfId="1" applyFont="1" applyBorder="1" applyAlignment="1">
      <alignment horizontal="right" wrapText="1"/>
    </xf>
    <xf numFmtId="0" fontId="0" fillId="4" borderId="17" xfId="0" applyFill="1" applyBorder="1"/>
    <xf numFmtId="43" fontId="0" fillId="0" borderId="1" xfId="0" applyNumberFormat="1" applyBorder="1"/>
    <xf numFmtId="9" fontId="0" fillId="0" borderId="1" xfId="2" applyFont="1" applyBorder="1"/>
    <xf numFmtId="0" fontId="0" fillId="0" borderId="7" xfId="0" applyBorder="1"/>
    <xf numFmtId="0" fontId="0" fillId="0" borderId="4" xfId="0" applyBorder="1"/>
    <xf numFmtId="0" fontId="0" fillId="0" borderId="5" xfId="0" applyBorder="1"/>
    <xf numFmtId="0" fontId="0" fillId="0" borderId="6" xfId="0" applyBorder="1"/>
    <xf numFmtId="43" fontId="0" fillId="0" borderId="17" xfId="0" applyNumberFormat="1" applyBorder="1"/>
    <xf numFmtId="9" fontId="0" fillId="0" borderId="1" xfId="2" applyFont="1" applyBorder="1" applyAlignment="1">
      <alignment vertical="center"/>
    </xf>
    <xf numFmtId="43" fontId="0" fillId="0" borderId="17" xfId="0" applyNumberFormat="1" applyBorder="1" applyAlignment="1">
      <alignment vertical="center"/>
    </xf>
    <xf numFmtId="43" fontId="3" fillId="0" borderId="1" xfId="0" applyNumberFormat="1" applyFont="1" applyBorder="1" applyAlignment="1">
      <alignment vertical="center"/>
    </xf>
    <xf numFmtId="0" fontId="3" fillId="0" borderId="1" xfId="0" applyFont="1" applyBorder="1" applyAlignment="1">
      <alignment vertical="center"/>
    </xf>
    <xf numFmtId="43" fontId="0" fillId="0" borderId="0" xfId="1" applyFont="1" applyAlignment="1">
      <alignment vertical="center"/>
    </xf>
    <xf numFmtId="0" fontId="0" fillId="0" borderId="12" xfId="0" applyBorder="1"/>
    <xf numFmtId="0" fontId="4" fillId="0" borderId="12" xfId="0" applyFont="1" applyBorder="1"/>
    <xf numFmtId="0" fontId="0" fillId="0" borderId="21" xfId="0" applyBorder="1"/>
    <xf numFmtId="43" fontId="0" fillId="0" borderId="1" xfId="0" applyNumberFormat="1" applyBorder="1" applyAlignment="1">
      <alignment vertical="center"/>
    </xf>
    <xf numFmtId="165" fontId="3" fillId="0" borderId="4" xfId="2" applyNumberFormat="1" applyFont="1" applyBorder="1"/>
    <xf numFmtId="43" fontId="0" fillId="0" borderId="1" xfId="1" applyFont="1" applyBorder="1" applyAlignment="1">
      <alignment horizontal="center" vertical="center"/>
    </xf>
    <xf numFmtId="43" fontId="4" fillId="0" borderId="1" xfId="1" applyFont="1" applyBorder="1" applyAlignment="1">
      <alignment vertical="center"/>
    </xf>
    <xf numFmtId="43" fontId="4" fillId="0" borderId="20" xfId="0" applyNumberFormat="1" applyFont="1" applyBorder="1"/>
    <xf numFmtId="43" fontId="5" fillId="0" borderId="20" xfId="0" applyNumberFormat="1" applyFont="1" applyBorder="1"/>
    <xf numFmtId="43" fontId="4" fillId="0" borderId="4" xfId="1" applyFont="1" applyBorder="1" applyAlignment="1">
      <alignment horizontal="center"/>
    </xf>
    <xf numFmtId="43" fontId="0" fillId="5" borderId="0" xfId="1" applyFont="1" applyFill="1"/>
    <xf numFmtId="43" fontId="5" fillId="0" borderId="1" xfId="1" applyFont="1" applyBorder="1"/>
    <xf numFmtId="4" fontId="0" fillId="0" borderId="1" xfId="0" applyNumberFormat="1" applyBorder="1" applyAlignment="1">
      <alignment vertical="center"/>
    </xf>
    <xf numFmtId="4" fontId="3" fillId="0" borderId="1" xfId="0" applyNumberFormat="1" applyFont="1" applyBorder="1" applyAlignment="1">
      <alignment vertical="center"/>
    </xf>
    <xf numFmtId="43" fontId="4" fillId="0" borderId="7" xfId="1" applyFont="1" applyBorder="1" applyAlignment="1">
      <alignment horizontal="center"/>
    </xf>
    <xf numFmtId="43" fontId="4" fillId="0" borderId="14" xfId="1" applyFont="1" applyBorder="1" applyAlignment="1">
      <alignment horizontal="center"/>
    </xf>
    <xf numFmtId="43" fontId="5" fillId="0" borderId="1" xfId="1" applyFont="1" applyBorder="1" applyAlignment="1">
      <alignment horizontal="center" vertical="center"/>
    </xf>
    <xf numFmtId="43" fontId="0" fillId="0" borderId="1" xfId="1" applyFont="1" applyBorder="1" applyAlignment="1">
      <alignment horizontal="center"/>
    </xf>
    <xf numFmtId="43" fontId="0" fillId="0" borderId="0" xfId="1" applyFont="1" applyAlignment="1">
      <alignment horizontal="left"/>
    </xf>
    <xf numFmtId="43" fontId="0" fillId="3" borderId="1" xfId="1" applyFont="1" applyFill="1" applyBorder="1" applyAlignment="1">
      <alignment vertical="center"/>
    </xf>
    <xf numFmtId="9" fontId="8" fillId="0" borderId="4" xfId="2" applyFont="1" applyBorder="1" applyAlignment="1">
      <alignment horizontal="center" vertical="center" wrapText="1"/>
    </xf>
    <xf numFmtId="43" fontId="4" fillId="0" borderId="20" xfId="0" applyNumberFormat="1" applyFont="1" applyBorder="1" applyAlignment="1">
      <alignment vertical="center"/>
    </xf>
    <xf numFmtId="43" fontId="4" fillId="0" borderId="20" xfId="1" applyFont="1" applyBorder="1" applyAlignment="1">
      <alignment horizontal="center"/>
    </xf>
    <xf numFmtId="43" fontId="4" fillId="0" borderId="20" xfId="1" applyFont="1" applyBorder="1" applyAlignment="1">
      <alignment horizontal="center" vertical="center"/>
    </xf>
    <xf numFmtId="43" fontId="5" fillId="0" borderId="20" xfId="1" applyFont="1" applyBorder="1" applyAlignment="1">
      <alignment horizontal="center"/>
    </xf>
    <xf numFmtId="43" fontId="0" fillId="0" borderId="1" xfId="1" applyFont="1" applyBorder="1" applyAlignment="1">
      <alignment horizontal="right" wrapText="1"/>
    </xf>
    <xf numFmtId="43" fontId="0" fillId="0" borderId="1" xfId="1" applyFont="1" applyBorder="1" applyAlignment="1">
      <alignment horizontal="right"/>
    </xf>
    <xf numFmtId="43" fontId="4" fillId="0" borderId="0" xfId="1" applyFont="1" applyAlignment="1">
      <alignment horizontal="center"/>
    </xf>
    <xf numFmtId="9" fontId="4" fillId="0" borderId="0" xfId="2" applyFont="1" applyAlignment="1">
      <alignment horizontal="center"/>
    </xf>
    <xf numFmtId="43" fontId="4" fillId="0" borderId="12" xfId="1" applyFont="1" applyBorder="1" applyAlignment="1">
      <alignment horizontal="center"/>
    </xf>
    <xf numFmtId="0" fontId="9" fillId="0" borderId="1" xfId="0" applyFont="1" applyBorder="1" applyAlignment="1">
      <alignment vertical="center"/>
    </xf>
    <xf numFmtId="165" fontId="4" fillId="0" borderId="1" xfId="2" applyNumberFormat="1" applyFont="1" applyBorder="1" applyAlignment="1">
      <alignment horizontal="center"/>
    </xf>
    <xf numFmtId="0" fontId="9" fillId="0" borderId="1" xfId="0" applyFont="1" applyBorder="1" applyAlignment="1">
      <alignment vertical="center" wrapText="1"/>
    </xf>
    <xf numFmtId="0" fontId="0" fillId="0" borderId="0" xfId="0" applyAlignment="1">
      <alignment horizontal="left" vertical="top"/>
    </xf>
    <xf numFmtId="43" fontId="4" fillId="0" borderId="4" xfId="1" applyFont="1" applyBorder="1" applyAlignment="1">
      <alignment horizontal="center" vertical="center"/>
    </xf>
    <xf numFmtId="43" fontId="5" fillId="0" borderId="4" xfId="1" applyFont="1" applyBorder="1" applyAlignment="1">
      <alignment horizontal="center" vertical="center"/>
    </xf>
    <xf numFmtId="0" fontId="4" fillId="0" borderId="3" xfId="0" applyFont="1" applyBorder="1" applyAlignment="1">
      <alignment vertical="center"/>
    </xf>
    <xf numFmtId="0" fontId="5" fillId="0" borderId="4" xfId="0" applyFont="1" applyBorder="1" applyAlignment="1">
      <alignment horizontal="center" vertical="center"/>
    </xf>
    <xf numFmtId="43" fontId="4" fillId="0" borderId="4" xfId="0" applyNumberFormat="1" applyFont="1" applyBorder="1"/>
    <xf numFmtId="43" fontId="5" fillId="0" borderId="4" xfId="0" applyNumberFormat="1" applyFont="1" applyBorder="1"/>
    <xf numFmtId="43" fontId="5" fillId="0" borderId="4" xfId="0" applyNumberFormat="1" applyFont="1" applyBorder="1" applyAlignment="1">
      <alignment vertical="center"/>
    </xf>
    <xf numFmtId="43" fontId="4" fillId="0" borderId="4" xfId="0" applyNumberFormat="1" applyFont="1" applyBorder="1" applyAlignment="1">
      <alignment vertical="center"/>
    </xf>
    <xf numFmtId="0" fontId="4" fillId="0" borderId="28" xfId="0" applyFont="1" applyBorder="1"/>
    <xf numFmtId="165" fontId="3" fillId="0" borderId="2" xfId="2" applyNumberFormat="1" applyFont="1" applyBorder="1"/>
    <xf numFmtId="165" fontId="0" fillId="0" borderId="2" xfId="2" applyNumberFormat="1" applyFont="1" applyBorder="1"/>
    <xf numFmtId="165" fontId="0" fillId="0" borderId="2" xfId="2" applyNumberFormat="1" applyFont="1" applyBorder="1" applyAlignment="1">
      <alignment vertical="center"/>
    </xf>
    <xf numFmtId="0" fontId="4" fillId="0" borderId="23" xfId="0" applyFont="1" applyBorder="1" applyAlignment="1">
      <alignment wrapText="1"/>
    </xf>
    <xf numFmtId="0" fontId="4" fillId="0" borderId="22" xfId="0" applyFont="1" applyBorder="1" applyAlignment="1">
      <alignment wrapText="1"/>
    </xf>
    <xf numFmtId="43" fontId="0" fillId="0" borderId="1" xfId="1" applyFont="1" applyBorder="1" applyAlignment="1">
      <alignment horizontal="left" vertical="center"/>
    </xf>
    <xf numFmtId="9" fontId="4" fillId="0" borderId="19" xfId="2" applyFont="1" applyBorder="1" applyAlignment="1">
      <alignment horizontal="center"/>
    </xf>
    <xf numFmtId="9" fontId="4" fillId="0" borderId="19" xfId="2" applyFont="1" applyBorder="1" applyAlignment="1">
      <alignment horizontal="center" vertical="center"/>
    </xf>
    <xf numFmtId="43" fontId="10" fillId="0" borderId="1" xfId="1" applyFont="1" applyBorder="1"/>
    <xf numFmtId="43" fontId="11" fillId="0" borderId="1" xfId="1" applyFont="1" applyBorder="1"/>
    <xf numFmtId="43" fontId="11" fillId="0" borderId="1" xfId="0" applyNumberFormat="1" applyFont="1" applyBorder="1"/>
    <xf numFmtId="43" fontId="11" fillId="0" borderId="1" xfId="0" applyNumberFormat="1" applyFont="1" applyBorder="1" applyAlignment="1">
      <alignment vertical="center"/>
    </xf>
    <xf numFmtId="43" fontId="11" fillId="0" borderId="1" xfId="1" applyFont="1" applyBorder="1" applyAlignment="1">
      <alignment horizontal="center" vertical="center"/>
    </xf>
    <xf numFmtId="43" fontId="10" fillId="0" borderId="1" xfId="0" applyNumberFormat="1" applyFont="1" applyBorder="1"/>
    <xf numFmtId="43" fontId="10" fillId="0" borderId="1" xfId="0" applyNumberFormat="1" applyFont="1" applyBorder="1" applyAlignment="1">
      <alignment vertical="center"/>
    </xf>
    <xf numFmtId="43" fontId="11" fillId="0" borderId="1" xfId="1" applyFont="1" applyBorder="1" applyAlignment="1">
      <alignment vertical="center"/>
    </xf>
    <xf numFmtId="43" fontId="10" fillId="0" borderId="1" xfId="1" applyFont="1" applyBorder="1" applyAlignment="1">
      <alignment vertical="center"/>
    </xf>
    <xf numFmtId="43" fontId="10" fillId="0" borderId="25" xfId="1" applyFont="1" applyBorder="1" applyAlignment="1">
      <alignment horizontal="center" vertical="center"/>
    </xf>
    <xf numFmtId="0" fontId="10" fillId="0" borderId="24" xfId="0" applyFont="1" applyBorder="1" applyAlignment="1">
      <alignment vertical="center"/>
    </xf>
    <xf numFmtId="17" fontId="10" fillId="0" borderId="25" xfId="1" quotePrefix="1" applyNumberFormat="1" applyFont="1" applyBorder="1" applyAlignment="1">
      <alignment horizontal="center" vertical="center"/>
    </xf>
    <xf numFmtId="0" fontId="10" fillId="0" borderId="25" xfId="0" applyFont="1" applyBorder="1" applyAlignment="1">
      <alignment horizontal="center" vertical="center" wrapText="1"/>
    </xf>
    <xf numFmtId="0" fontId="11" fillId="0" borderId="26" xfId="0" applyFont="1" applyBorder="1" applyAlignment="1">
      <alignment horizontal="center" wrapText="1"/>
    </xf>
    <xf numFmtId="0" fontId="11" fillId="0" borderId="3" xfId="0" applyFont="1" applyBorder="1"/>
    <xf numFmtId="0" fontId="11" fillId="0" borderId="3" xfId="0" applyFont="1" applyBorder="1" applyAlignment="1">
      <alignment vertical="center"/>
    </xf>
    <xf numFmtId="49" fontId="0" fillId="0" borderId="1" xfId="1" applyNumberFormat="1" applyFont="1" applyBorder="1" applyAlignment="1">
      <alignment horizontal="left" wrapText="1"/>
    </xf>
    <xf numFmtId="0" fontId="3" fillId="0" borderId="3" xfId="0" applyFont="1" applyBorder="1"/>
    <xf numFmtId="4" fontId="3" fillId="0" borderId="0" xfId="0" applyNumberFormat="1" applyFont="1"/>
    <xf numFmtId="0" fontId="4" fillId="0" borderId="25" xfId="0" applyFont="1" applyBorder="1" applyAlignment="1">
      <alignment horizontal="center" wrapText="1"/>
    </xf>
    <xf numFmtId="0" fontId="4" fillId="0" borderId="2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29" xfId="0" applyFont="1" applyBorder="1"/>
    <xf numFmtId="0" fontId="4" fillId="0" borderId="32" xfId="0" applyFont="1" applyBorder="1" applyAlignment="1">
      <alignment wrapText="1"/>
    </xf>
    <xf numFmtId="0" fontId="4" fillId="0" borderId="32" xfId="0" applyFont="1" applyBorder="1"/>
    <xf numFmtId="0" fontId="4" fillId="0" borderId="33" xfId="0" applyFont="1" applyBorder="1"/>
    <xf numFmtId="43" fontId="5" fillId="0" borderId="1" xfId="1" applyFont="1" applyBorder="1" applyAlignment="1">
      <alignment horizontal="left" vertical="center"/>
    </xf>
    <xf numFmtId="9" fontId="5" fillId="0" borderId="19" xfId="2" applyFont="1" applyBorder="1" applyAlignment="1">
      <alignment horizontal="center" vertical="center"/>
    </xf>
    <xf numFmtId="43" fontId="5" fillId="0" borderId="1" xfId="1" applyFont="1" applyBorder="1" applyAlignment="1">
      <alignment horizontal="center" vertical="center" wrapText="1"/>
    </xf>
    <xf numFmtId="0" fontId="5" fillId="0" borderId="4" xfId="0" applyFont="1" applyBorder="1" applyAlignment="1">
      <alignment horizontal="center"/>
    </xf>
    <xf numFmtId="0" fontId="4" fillId="0" borderId="34" xfId="0" applyFont="1" applyBorder="1"/>
    <xf numFmtId="9" fontId="4" fillId="0" borderId="35" xfId="2" applyFont="1" applyBorder="1" applyAlignment="1">
      <alignment horizontal="center"/>
    </xf>
    <xf numFmtId="0" fontId="4" fillId="0" borderId="4" xfId="0" applyFont="1" applyBorder="1"/>
    <xf numFmtId="165" fontId="4" fillId="0" borderId="5" xfId="2" applyNumberFormat="1" applyFont="1" applyBorder="1" applyAlignment="1">
      <alignment horizontal="center"/>
    </xf>
    <xf numFmtId="43" fontId="4" fillId="0" borderId="22" xfId="1" applyFont="1" applyBorder="1" applyAlignment="1">
      <alignment horizontal="center"/>
    </xf>
    <xf numFmtId="43" fontId="4" fillId="0" borderId="23" xfId="0" applyNumberFormat="1" applyFont="1" applyBorder="1"/>
    <xf numFmtId="43" fontId="4" fillId="0" borderId="23" xfId="1" applyFont="1" applyBorder="1" applyAlignment="1">
      <alignment horizontal="center"/>
    </xf>
    <xf numFmtId="0" fontId="4" fillId="0" borderId="22" xfId="0" applyFont="1" applyBorder="1"/>
    <xf numFmtId="0" fontId="0" fillId="2" borderId="0" xfId="0" applyFill="1" applyAlignment="1">
      <alignment horizontal="left"/>
    </xf>
    <xf numFmtId="0" fontId="0" fillId="2" borderId="0" xfId="0" applyFill="1"/>
    <xf numFmtId="39" fontId="0" fillId="2" borderId="0" xfId="0" applyNumberFormat="1" applyFill="1"/>
    <xf numFmtId="43" fontId="0" fillId="2" borderId="0" xfId="1" applyFont="1" applyFill="1"/>
    <xf numFmtId="43" fontId="0" fillId="2" borderId="0" xfId="0" applyNumberFormat="1" applyFill="1"/>
    <xf numFmtId="0" fontId="4" fillId="0" borderId="36" xfId="0" applyFont="1" applyBorder="1" applyAlignment="1">
      <alignment horizontal="center" vertical="center" wrapText="1"/>
    </xf>
    <xf numFmtId="43" fontId="4" fillId="0" borderId="2" xfId="1" applyFont="1" applyBorder="1" applyAlignment="1">
      <alignment horizontal="center"/>
    </xf>
    <xf numFmtId="43" fontId="5" fillId="0" borderId="2" xfId="1" applyFont="1" applyBorder="1" applyAlignment="1">
      <alignment horizontal="center"/>
    </xf>
    <xf numFmtId="43" fontId="4" fillId="0" borderId="2" xfId="1" applyFont="1" applyBorder="1" applyAlignment="1">
      <alignment horizontal="center" vertical="center"/>
    </xf>
    <xf numFmtId="43" fontId="3" fillId="0" borderId="0" xfId="1" applyFont="1"/>
    <xf numFmtId="165" fontId="0" fillId="0" borderId="4" xfId="2" applyNumberFormat="1" applyFont="1" applyBorder="1" applyAlignment="1">
      <alignment horizontal="right" vertical="center"/>
    </xf>
    <xf numFmtId="165" fontId="1" fillId="0" borderId="4" xfId="2" applyNumberFormat="1" applyBorder="1"/>
    <xf numFmtId="43" fontId="0" fillId="0" borderId="32" xfId="1" applyFont="1" applyBorder="1" applyAlignment="1">
      <alignment horizontal="left"/>
    </xf>
    <xf numFmtId="43" fontId="0" fillId="0" borderId="32" xfId="1" applyFont="1" applyBorder="1"/>
    <xf numFmtId="4" fontId="0" fillId="0" borderId="1" xfId="0" applyNumberFormat="1" applyBorder="1" applyAlignment="1">
      <alignment horizontal="right"/>
    </xf>
    <xf numFmtId="43" fontId="2" fillId="0" borderId="0" xfId="1" applyFont="1"/>
    <xf numFmtId="43" fontId="3" fillId="0" borderId="0" xfId="0" applyNumberFormat="1" applyFont="1"/>
    <xf numFmtId="0" fontId="5" fillId="0" borderId="0" xfId="0" applyFont="1" applyAlignment="1">
      <alignment vertical="center"/>
    </xf>
    <xf numFmtId="0" fontId="4" fillId="0" borderId="19" xfId="0" applyFont="1" applyBorder="1" applyAlignment="1">
      <alignment wrapText="1"/>
    </xf>
    <xf numFmtId="0" fontId="4" fillId="0" borderId="17" xfId="0" applyFont="1" applyBorder="1" applyAlignment="1">
      <alignment wrapText="1"/>
    </xf>
    <xf numFmtId="164" fontId="0" fillId="0" borderId="0" xfId="1" applyNumberFormat="1" applyFont="1"/>
    <xf numFmtId="164" fontId="0" fillId="0" borderId="1" xfId="1" applyNumberFormat="1" applyFont="1" applyBorder="1"/>
    <xf numFmtId="164" fontId="3" fillId="0" borderId="1" xfId="1" applyNumberFormat="1" applyFont="1" applyBorder="1"/>
    <xf numFmtId="43" fontId="12" fillId="0" borderId="1" xfId="1" applyFont="1" applyBorder="1" applyAlignment="1">
      <alignment horizontal="left"/>
    </xf>
    <xf numFmtId="4" fontId="12" fillId="0" borderId="1" xfId="0" applyNumberFormat="1" applyFont="1" applyBorder="1" applyAlignment="1">
      <alignment horizontal="center"/>
    </xf>
    <xf numFmtId="4" fontId="13" fillId="0" borderId="1" xfId="0" applyNumberFormat="1" applyFont="1" applyBorder="1" applyAlignment="1">
      <alignment horizontal="center"/>
    </xf>
    <xf numFmtId="43" fontId="12" fillId="0" borderId="1" xfId="1" applyFont="1" applyBorder="1" applyAlignment="1">
      <alignment horizontal="center"/>
    </xf>
    <xf numFmtId="43" fontId="13" fillId="0" borderId="1" xfId="1" applyFont="1" applyBorder="1" applyAlignment="1">
      <alignment horizontal="center"/>
    </xf>
    <xf numFmtId="4" fontId="12" fillId="3" borderId="1" xfId="0" applyNumberFormat="1" applyFont="1" applyFill="1" applyBorder="1" applyAlignment="1">
      <alignment horizontal="center"/>
    </xf>
    <xf numFmtId="164" fontId="12" fillId="3" borderId="1" xfId="1" applyNumberFormat="1" applyFont="1" applyFill="1" applyBorder="1" applyAlignment="1">
      <alignment horizontal="center"/>
    </xf>
    <xf numFmtId="0" fontId="12" fillId="2" borderId="1" xfId="0" applyFont="1" applyFill="1" applyBorder="1" applyAlignment="1">
      <alignment horizontal="left"/>
    </xf>
    <xf numFmtId="39" fontId="12" fillId="0" borderId="1" xfId="1" applyNumberFormat="1" applyFont="1" applyBorder="1" applyAlignment="1">
      <alignment horizontal="center"/>
    </xf>
    <xf numFmtId="39" fontId="12" fillId="2" borderId="1" xfId="1" applyNumberFormat="1" applyFont="1" applyFill="1" applyBorder="1" applyAlignment="1">
      <alignment horizontal="center" wrapText="1"/>
    </xf>
    <xf numFmtId="4" fontId="12" fillId="2" borderId="1" xfId="1" applyNumberFormat="1" applyFont="1" applyFill="1" applyBorder="1" applyAlignment="1">
      <alignment horizontal="right" wrapText="1"/>
    </xf>
    <xf numFmtId="43" fontId="12" fillId="2" borderId="1" xfId="1" applyFont="1" applyFill="1" applyBorder="1" applyAlignment="1">
      <alignment horizontal="center" wrapText="1"/>
    </xf>
    <xf numFmtId="43" fontId="12" fillId="2" borderId="1" xfId="1" applyFont="1" applyFill="1" applyBorder="1"/>
    <xf numFmtId="43" fontId="12" fillId="3" borderId="1" xfId="1" applyFont="1" applyFill="1" applyBorder="1"/>
    <xf numFmtId="164" fontId="12" fillId="0" borderId="1" xfId="1" applyNumberFormat="1" applyFont="1" applyBorder="1"/>
    <xf numFmtId="39" fontId="12" fillId="2" borderId="1" xfId="1" applyNumberFormat="1" applyFont="1" applyFill="1" applyBorder="1" applyAlignment="1">
      <alignment horizontal="center"/>
    </xf>
    <xf numFmtId="4" fontId="12" fillId="2" borderId="1" xfId="1" applyNumberFormat="1" applyFont="1" applyFill="1" applyBorder="1" applyAlignment="1">
      <alignment horizontal="right"/>
    </xf>
    <xf numFmtId="43" fontId="12" fillId="2" borderId="1" xfId="1" applyFont="1" applyFill="1" applyBorder="1" applyAlignment="1">
      <alignment horizontal="center"/>
    </xf>
    <xf numFmtId="164" fontId="13" fillId="0" borderId="1" xfId="1" applyNumberFormat="1" applyFont="1" applyBorder="1"/>
    <xf numFmtId="43" fontId="13" fillId="0" borderId="1" xfId="1" applyFont="1" applyBorder="1" applyAlignment="1">
      <alignment horizontal="left"/>
    </xf>
    <xf numFmtId="39" fontId="13" fillId="0" borderId="1" xfId="1" applyNumberFormat="1" applyFont="1" applyBorder="1" applyAlignment="1">
      <alignment horizontal="center"/>
    </xf>
    <xf numFmtId="39" fontId="13" fillId="3" borderId="1" xfId="1" applyNumberFormat="1" applyFont="1" applyFill="1" applyBorder="1" applyAlignment="1">
      <alignment horizontal="center"/>
    </xf>
    <xf numFmtId="0" fontId="12" fillId="2" borderId="1" xfId="0" applyFont="1" applyFill="1" applyBorder="1" applyAlignment="1">
      <alignment horizontal="right" wrapText="1"/>
    </xf>
    <xf numFmtId="4" fontId="12" fillId="0" borderId="1" xfId="0" applyNumberFormat="1" applyFont="1" applyBorder="1" applyAlignment="1">
      <alignment horizontal="center" vertical="center"/>
    </xf>
    <xf numFmtId="39" fontId="12" fillId="2" borderId="1" xfId="1" applyNumberFormat="1" applyFont="1" applyFill="1" applyBorder="1" applyAlignment="1">
      <alignment horizontal="center" vertical="center"/>
    </xf>
    <xf numFmtId="4" fontId="12" fillId="0" borderId="1" xfId="1" applyNumberFormat="1" applyFont="1" applyBorder="1" applyAlignment="1">
      <alignment horizontal="center" vertical="center"/>
    </xf>
    <xf numFmtId="43" fontId="12" fillId="2" borderId="1" xfId="1" applyFont="1" applyFill="1" applyBorder="1" applyAlignment="1">
      <alignment horizontal="center" vertical="center"/>
    </xf>
    <xf numFmtId="43" fontId="12" fillId="2" borderId="1" xfId="1" applyFont="1" applyFill="1" applyBorder="1" applyAlignment="1">
      <alignment horizontal="center" vertical="center" wrapText="1"/>
    </xf>
    <xf numFmtId="43" fontId="12" fillId="3" borderId="1" xfId="1" applyFont="1" applyFill="1" applyBorder="1" applyAlignment="1">
      <alignment vertical="center"/>
    </xf>
    <xf numFmtId="4" fontId="12" fillId="0" borderId="1" xfId="1" applyNumberFormat="1" applyFont="1" applyBorder="1" applyAlignment="1">
      <alignment horizontal="center"/>
    </xf>
    <xf numFmtId="0" fontId="13" fillId="2" borderId="1" xfId="0" applyFont="1" applyFill="1" applyBorder="1" applyAlignment="1">
      <alignment horizontal="left"/>
    </xf>
    <xf numFmtId="39" fontId="13" fillId="2" borderId="1" xfId="1" applyNumberFormat="1" applyFont="1" applyFill="1" applyBorder="1" applyAlignment="1">
      <alignment horizontal="center"/>
    </xf>
    <xf numFmtId="39" fontId="12" fillId="2" borderId="1" xfId="0" applyNumberFormat="1" applyFont="1" applyFill="1" applyBorder="1"/>
    <xf numFmtId="0" fontId="12" fillId="2" borderId="1" xfId="0" applyFont="1" applyFill="1" applyBorder="1"/>
    <xf numFmtId="43" fontId="13" fillId="3" borderId="1" xfId="1" applyFont="1" applyFill="1" applyBorder="1"/>
    <xf numFmtId="0" fontId="13" fillId="0" borderId="1" xfId="0" applyFont="1" applyBorder="1" applyAlignment="1">
      <alignment horizontal="left"/>
    </xf>
    <xf numFmtId="43" fontId="12" fillId="3" borderId="1" xfId="1" applyFont="1" applyFill="1" applyBorder="1" applyAlignment="1">
      <alignment horizontal="center"/>
    </xf>
    <xf numFmtId="0" fontId="12" fillId="0" borderId="1" xfId="0" applyFont="1" applyBorder="1" applyAlignment="1">
      <alignment horizontal="left"/>
    </xf>
    <xf numFmtId="43" fontId="12" fillId="0" borderId="1" xfId="1" applyFont="1" applyBorder="1"/>
    <xf numFmtId="39" fontId="13" fillId="0" borderId="1" xfId="0" applyNumberFormat="1" applyFont="1" applyBorder="1" applyAlignment="1">
      <alignment horizontal="center"/>
    </xf>
    <xf numFmtId="0" fontId="12" fillId="0" borderId="1" xfId="0" applyFont="1" applyBorder="1" applyAlignment="1">
      <alignment horizontal="left" wrapText="1"/>
    </xf>
    <xf numFmtId="4" fontId="12" fillId="0" borderId="1" xfId="1" applyNumberFormat="1" applyFont="1" applyBorder="1" applyAlignment="1">
      <alignment horizontal="center" wrapText="1"/>
    </xf>
    <xf numFmtId="4" fontId="13" fillId="0" borderId="1" xfId="1" applyNumberFormat="1" applyFont="1" applyBorder="1" applyAlignment="1">
      <alignment horizontal="center"/>
    </xf>
    <xf numFmtId="43" fontId="13" fillId="0" borderId="1" xfId="1" applyFont="1" applyBorder="1" applyAlignment="1">
      <alignment horizontal="center" vertical="center"/>
    </xf>
    <xf numFmtId="43" fontId="12" fillId="0" borderId="1" xfId="1" applyFont="1" applyBorder="1" applyAlignment="1">
      <alignment vertical="center"/>
    </xf>
    <xf numFmtId="4" fontId="12" fillId="2" borderId="1" xfId="1" applyNumberFormat="1" applyFont="1" applyFill="1" applyBorder="1" applyAlignment="1">
      <alignment horizontal="center"/>
    </xf>
    <xf numFmtId="4" fontId="12" fillId="0" borderId="1" xfId="1" applyNumberFormat="1" applyFont="1" applyBorder="1" applyAlignment="1">
      <alignment horizontal="center" vertical="center" wrapText="1"/>
    </xf>
    <xf numFmtId="43" fontId="12" fillId="0" borderId="1" xfId="0" applyNumberFormat="1" applyFont="1" applyBorder="1" applyAlignment="1">
      <alignment horizontal="right"/>
    </xf>
    <xf numFmtId="4" fontId="13" fillId="0" borderId="1" xfId="0" applyNumberFormat="1" applyFont="1" applyBorder="1" applyAlignment="1">
      <alignment horizontal="center" vertical="center"/>
    </xf>
    <xf numFmtId="39" fontId="13" fillId="0" borderId="1" xfId="0" applyNumberFormat="1" applyFont="1" applyBorder="1" applyAlignment="1">
      <alignment horizontal="center" vertical="center"/>
    </xf>
    <xf numFmtId="43" fontId="12" fillId="0" borderId="1" xfId="1" applyFont="1" applyBorder="1" applyAlignment="1">
      <alignment horizontal="center" vertical="center"/>
    </xf>
    <xf numFmtId="4" fontId="13" fillId="2" borderId="1" xfId="1" applyNumberFormat="1" applyFont="1" applyFill="1" applyBorder="1" applyAlignment="1">
      <alignment horizontal="center"/>
    </xf>
    <xf numFmtId="4" fontId="12" fillId="2" borderId="1" xfId="1" applyNumberFormat="1" applyFont="1" applyFill="1" applyBorder="1" applyAlignment="1">
      <alignment horizontal="center" vertical="center"/>
    </xf>
    <xf numFmtId="43" fontId="12" fillId="3" borderId="1" xfId="1" applyFont="1" applyFill="1" applyBorder="1" applyAlignment="1">
      <alignment horizontal="center" vertical="center"/>
    </xf>
    <xf numFmtId="0" fontId="12" fillId="0" borderId="1" xfId="0" applyFont="1" applyBorder="1" applyAlignment="1">
      <alignment horizontal="left" vertical="top" wrapText="1"/>
    </xf>
    <xf numFmtId="43" fontId="13" fillId="2" borderId="1" xfId="1" applyFont="1" applyFill="1" applyBorder="1" applyAlignment="1">
      <alignment horizontal="center"/>
    </xf>
    <xf numFmtId="43" fontId="11" fillId="0" borderId="7" xfId="1" applyFont="1" applyBorder="1"/>
    <xf numFmtId="43" fontId="11" fillId="0" borderId="7" xfId="0" applyNumberFormat="1" applyFont="1" applyBorder="1"/>
    <xf numFmtId="0" fontId="0" fillId="0" borderId="0" xfId="0" applyAlignment="1">
      <alignment horizontal="center"/>
    </xf>
    <xf numFmtId="43" fontId="3" fillId="0" borderId="17" xfId="1" applyFont="1" applyBorder="1"/>
    <xf numFmtId="0" fontId="13" fillId="0" borderId="1" xfId="0" applyFont="1" applyBorder="1"/>
    <xf numFmtId="0" fontId="12" fillId="0" borderId="1" xfId="0" applyFont="1" applyBorder="1"/>
    <xf numFmtId="0" fontId="13" fillId="0" borderId="1" xfId="0" applyFont="1" applyBorder="1" applyAlignment="1">
      <alignment horizontal="left" wrapText="1"/>
    </xf>
    <xf numFmtId="39" fontId="12" fillId="0" borderId="1" xfId="0" applyNumberFormat="1" applyFont="1" applyBorder="1" applyAlignment="1">
      <alignment vertical="center"/>
    </xf>
    <xf numFmtId="39" fontId="13" fillId="0" borderId="1" xfId="0" applyNumberFormat="1" applyFont="1" applyBorder="1" applyAlignment="1">
      <alignment vertical="center"/>
    </xf>
    <xf numFmtId="43" fontId="13" fillId="0" borderId="1" xfId="0" applyNumberFormat="1" applyFont="1" applyBorder="1"/>
    <xf numFmtId="4" fontId="12" fillId="0" borderId="1" xfId="0" applyNumberFormat="1" applyFont="1" applyBorder="1" applyAlignment="1">
      <alignment vertical="center"/>
    </xf>
    <xf numFmtId="4" fontId="13" fillId="0" borderId="1" xfId="0" applyNumberFormat="1" applyFont="1" applyBorder="1" applyAlignment="1">
      <alignment vertical="center"/>
    </xf>
    <xf numFmtId="4" fontId="12" fillId="0" borderId="1" xfId="0" applyNumberFormat="1" applyFont="1" applyBorder="1"/>
    <xf numFmtId="4" fontId="13" fillId="0" borderId="1" xfId="0" applyNumberFormat="1" applyFont="1" applyBorder="1"/>
    <xf numFmtId="0" fontId="12" fillId="4" borderId="1" xfId="0" applyFont="1" applyFill="1" applyBorder="1" applyAlignment="1">
      <alignment horizontal="left"/>
    </xf>
    <xf numFmtId="39" fontId="12" fillId="4" borderId="1" xfId="0" applyNumberFormat="1" applyFont="1" applyFill="1" applyBorder="1"/>
    <xf numFmtId="4" fontId="13" fillId="4" borderId="1" xfId="0" applyNumberFormat="1" applyFont="1" applyFill="1" applyBorder="1" applyAlignment="1">
      <alignment horizontal="center"/>
    </xf>
    <xf numFmtId="39" fontId="13" fillId="4" borderId="1" xfId="0" applyNumberFormat="1" applyFont="1" applyFill="1" applyBorder="1"/>
    <xf numFmtId="0" fontId="14" fillId="0" borderId="11" xfId="0" applyFont="1" applyBorder="1"/>
    <xf numFmtId="43" fontId="14" fillId="0" borderId="0" xfId="1" applyFont="1"/>
    <xf numFmtId="0" fontId="14" fillId="0" borderId="0" xfId="0" applyFont="1"/>
    <xf numFmtId="0" fontId="14" fillId="0" borderId="12" xfId="0" applyFont="1" applyBorder="1" applyAlignment="1">
      <alignment horizontal="center"/>
    </xf>
    <xf numFmtId="0" fontId="14" fillId="0" borderId="24" xfId="0" applyFont="1" applyBorder="1" applyAlignment="1">
      <alignment vertical="center"/>
    </xf>
    <xf numFmtId="43" fontId="15" fillId="0" borderId="25" xfId="1" applyFont="1" applyBorder="1" applyAlignment="1">
      <alignment horizontal="center" vertical="center"/>
    </xf>
    <xf numFmtId="0" fontId="15" fillId="0" borderId="25" xfId="0" applyFont="1" applyBorder="1" applyAlignment="1">
      <alignment horizontal="center" vertical="center"/>
    </xf>
    <xf numFmtId="0" fontId="14" fillId="0" borderId="26" xfId="0" applyFont="1" applyBorder="1" applyAlignment="1">
      <alignment horizontal="center" vertical="center" wrapText="1"/>
    </xf>
    <xf numFmtId="0" fontId="14" fillId="0" borderId="3" xfId="0" applyFont="1" applyBorder="1"/>
    <xf numFmtId="43" fontId="14" fillId="0" borderId="1" xfId="1" applyFont="1" applyBorder="1" applyAlignment="1">
      <alignment horizontal="left"/>
    </xf>
    <xf numFmtId="43" fontId="14" fillId="0" borderId="1" xfId="1" applyFont="1" applyBorder="1"/>
    <xf numFmtId="43" fontId="14" fillId="0" borderId="1" xfId="0" applyNumberFormat="1" applyFont="1" applyBorder="1"/>
    <xf numFmtId="9" fontId="14" fillId="0" borderId="4" xfId="2" applyFont="1" applyBorder="1" applyAlignment="1">
      <alignment horizontal="center"/>
    </xf>
    <xf numFmtId="0" fontId="14" fillId="0" borderId="3" xfId="0" applyFont="1" applyBorder="1" applyAlignment="1">
      <alignment vertical="center"/>
    </xf>
    <xf numFmtId="43" fontId="15" fillId="0" borderId="1" xfId="1" applyFont="1" applyBorder="1"/>
    <xf numFmtId="9" fontId="15" fillId="0" borderId="4" xfId="2" applyFont="1" applyBorder="1" applyAlignment="1">
      <alignment horizontal="center"/>
    </xf>
    <xf numFmtId="43" fontId="14" fillId="0" borderId="1" xfId="1" applyFont="1" applyBorder="1" applyAlignment="1">
      <alignment horizontal="center" vertical="center"/>
    </xf>
    <xf numFmtId="43" fontId="14" fillId="0" borderId="1" xfId="1" applyFont="1" applyBorder="1" applyAlignment="1">
      <alignment vertical="center"/>
    </xf>
    <xf numFmtId="43" fontId="14" fillId="2" borderId="1" xfId="1" applyFont="1" applyFill="1" applyBorder="1"/>
    <xf numFmtId="9" fontId="15" fillId="2" borderId="4" xfId="2" applyFont="1" applyFill="1" applyBorder="1" applyAlignment="1">
      <alignment horizontal="center"/>
    </xf>
    <xf numFmtId="43" fontId="15" fillId="0" borderId="1" xfId="1" applyFont="1" applyBorder="1" applyAlignment="1">
      <alignment horizontal="left" wrapText="1"/>
    </xf>
    <xf numFmtId="43" fontId="15" fillId="2" borderId="1" xfId="1" applyFont="1" applyFill="1" applyBorder="1" applyAlignment="1">
      <alignment vertical="center"/>
    </xf>
    <xf numFmtId="43" fontId="15" fillId="0" borderId="1" xfId="1" applyFont="1" applyBorder="1" applyAlignment="1">
      <alignment vertical="center"/>
    </xf>
    <xf numFmtId="9" fontId="14" fillId="2" borderId="4" xfId="2" applyFont="1" applyFill="1" applyBorder="1" applyAlignment="1">
      <alignment horizontal="center"/>
    </xf>
    <xf numFmtId="43" fontId="15" fillId="0" borderId="1" xfId="1" applyFont="1" applyBorder="1" applyAlignment="1">
      <alignment horizontal="left"/>
    </xf>
    <xf numFmtId="43" fontId="15" fillId="0" borderId="1" xfId="0" applyNumberFormat="1" applyFont="1" applyBorder="1"/>
    <xf numFmtId="43" fontId="14" fillId="0" borderId="1" xfId="1" applyFont="1" applyBorder="1" applyAlignment="1">
      <alignment horizontal="left" wrapText="1"/>
    </xf>
    <xf numFmtId="43" fontId="14" fillId="0" borderId="1" xfId="0" applyNumberFormat="1" applyFont="1" applyBorder="1" applyAlignment="1">
      <alignment vertical="center"/>
    </xf>
    <xf numFmtId="9" fontId="14" fillId="0" borderId="4" xfId="2" applyFont="1" applyBorder="1" applyAlignment="1">
      <alignment horizontal="center" vertical="center"/>
    </xf>
    <xf numFmtId="0" fontId="14" fillId="0" borderId="4" xfId="0" applyFont="1" applyBorder="1" applyAlignment="1">
      <alignment horizontal="center" vertical="center" wrapText="1"/>
    </xf>
    <xf numFmtId="0" fontId="15" fillId="0" borderId="3" xfId="0" applyFont="1" applyBorder="1"/>
    <xf numFmtId="9" fontId="15" fillId="0" borderId="4" xfId="2" applyFont="1" applyBorder="1" applyAlignment="1">
      <alignment horizontal="center" vertical="center"/>
    </xf>
    <xf numFmtId="0" fontId="14" fillId="0" borderId="4" xfId="0" applyFont="1" applyBorder="1" applyAlignment="1">
      <alignment horizontal="center"/>
    </xf>
    <xf numFmtId="0" fontId="15" fillId="0" borderId="4" xfId="0" applyFont="1" applyBorder="1" applyAlignment="1">
      <alignment horizontal="center"/>
    </xf>
    <xf numFmtId="0" fontId="14" fillId="0" borderId="16" xfId="0" applyFont="1" applyBorder="1"/>
    <xf numFmtId="43" fontId="14" fillId="0" borderId="1" xfId="1" applyFont="1" applyBorder="1" applyAlignment="1">
      <alignment horizontal="right" wrapText="1"/>
    </xf>
    <xf numFmtId="43" fontId="14" fillId="0" borderId="1" xfId="1" applyFont="1" applyBorder="1" applyAlignment="1">
      <alignment horizontal="left" vertical="center" wrapText="1"/>
    </xf>
    <xf numFmtId="43" fontId="15" fillId="0" borderId="5" xfId="1" applyFont="1" applyBorder="1" applyAlignment="1">
      <alignment horizontal="left" wrapText="1"/>
    </xf>
    <xf numFmtId="43" fontId="15" fillId="0" borderId="5" xfId="1" applyFont="1" applyBorder="1"/>
    <xf numFmtId="43" fontId="12" fillId="0" borderId="1" xfId="1" applyNumberFormat="1" applyFont="1" applyBorder="1"/>
    <xf numFmtId="43" fontId="13" fillId="0" borderId="1" xfId="1" applyNumberFormat="1" applyFont="1" applyBorder="1"/>
    <xf numFmtId="9" fontId="15" fillId="0" borderId="4" xfId="2" applyNumberFormat="1" applyFont="1" applyBorder="1" applyAlignment="1">
      <alignment horizontal="center"/>
    </xf>
    <xf numFmtId="9" fontId="15" fillId="0" borderId="6" xfId="2" applyNumberFormat="1" applyFont="1" applyBorder="1" applyAlignment="1">
      <alignment horizontal="center"/>
    </xf>
    <xf numFmtId="165" fontId="11" fillId="0" borderId="4" xfId="2" applyNumberFormat="1" applyFont="1" applyBorder="1" applyAlignment="1">
      <alignment horizontal="center"/>
    </xf>
    <xf numFmtId="165" fontId="10" fillId="0" borderId="4" xfId="2" applyNumberFormat="1" applyFont="1" applyBorder="1" applyAlignment="1">
      <alignment horizontal="center" vertical="center"/>
    </xf>
    <xf numFmtId="165" fontId="11" fillId="0" borderId="4" xfId="2" applyNumberFormat="1" applyFont="1" applyBorder="1" applyAlignment="1">
      <alignment horizontal="center" vertical="center"/>
    </xf>
    <xf numFmtId="165" fontId="10" fillId="0" borderId="4" xfId="2" applyNumberFormat="1" applyFont="1" applyBorder="1" applyAlignment="1">
      <alignment horizontal="center"/>
    </xf>
    <xf numFmtId="43" fontId="10" fillId="0" borderId="1" xfId="0" applyNumberFormat="1" applyFont="1" applyBorder="1" applyAlignment="1">
      <alignment horizontal="center" vertical="center"/>
    </xf>
    <xf numFmtId="43" fontId="15" fillId="0" borderId="1" xfId="1" applyFont="1" applyBorder="1" applyAlignment="1">
      <alignment horizontal="center" vertical="center"/>
    </xf>
    <xf numFmtId="43" fontId="10" fillId="0" borderId="1" xfId="1" applyFont="1" applyBorder="1" applyAlignment="1">
      <alignment horizontal="center" vertical="center"/>
    </xf>
    <xf numFmtId="43" fontId="14" fillId="0" borderId="1" xfId="1" applyFont="1" applyBorder="1" applyAlignment="1">
      <alignment horizontal="right" vertical="center" wrapText="1"/>
    </xf>
    <xf numFmtId="165" fontId="11" fillId="0" borderId="4" xfId="0" applyNumberFormat="1" applyFont="1" applyBorder="1" applyAlignment="1">
      <alignment horizontal="center"/>
    </xf>
    <xf numFmtId="165" fontId="11" fillId="0" borderId="4" xfId="0" applyNumberFormat="1" applyFont="1" applyBorder="1" applyAlignment="1">
      <alignment horizontal="center" wrapText="1"/>
    </xf>
    <xf numFmtId="165" fontId="0" fillId="0" borderId="4" xfId="0" applyNumberFormat="1" applyBorder="1" applyAlignment="1">
      <alignment horizontal="center"/>
    </xf>
    <xf numFmtId="165" fontId="3" fillId="0" borderId="4" xfId="0" applyNumberFormat="1" applyFont="1" applyBorder="1" applyAlignment="1">
      <alignment horizontal="center" vertical="center"/>
    </xf>
    <xf numFmtId="165" fontId="0" fillId="0" borderId="4" xfId="0" applyNumberFormat="1" applyBorder="1" applyAlignment="1">
      <alignment horizontal="center" vertical="center"/>
    </xf>
    <xf numFmtId="0" fontId="4" fillId="0" borderId="1" xfId="2" applyNumberFormat="1" applyFont="1" applyBorder="1" applyAlignment="1">
      <alignment horizontal="center"/>
    </xf>
    <xf numFmtId="49" fontId="5" fillId="0" borderId="1" xfId="1" applyNumberFormat="1" applyFont="1" applyBorder="1" applyAlignment="1">
      <alignment horizontal="center" vertical="center" wrapText="1"/>
    </xf>
    <xf numFmtId="9" fontId="4" fillId="0" borderId="26" xfId="2" applyFont="1" applyBorder="1" applyAlignment="1">
      <alignment horizontal="center" wrapText="1"/>
    </xf>
    <xf numFmtId="165" fontId="4" fillId="0" borderId="17" xfId="2" applyNumberFormat="1" applyFont="1" applyBorder="1"/>
    <xf numFmtId="43" fontId="4" fillId="0" borderId="17" xfId="1" applyFont="1" applyBorder="1"/>
    <xf numFmtId="165" fontId="5" fillId="0" borderId="17" xfId="2" applyNumberFormat="1" applyFont="1" applyBorder="1"/>
    <xf numFmtId="165" fontId="4" fillId="0" borderId="17" xfId="2" applyNumberFormat="1" applyFont="1" applyBorder="1" applyAlignment="1">
      <alignment vertical="center"/>
    </xf>
    <xf numFmtId="165" fontId="5" fillId="0" borderId="17" xfId="2" applyNumberFormat="1" applyFont="1" applyBorder="1" applyAlignment="1">
      <alignment vertical="center"/>
    </xf>
    <xf numFmtId="165" fontId="4" fillId="0" borderId="1" xfId="2" applyNumberFormat="1" applyFont="1" applyBorder="1" applyAlignment="1">
      <alignment horizontal="center" vertical="center"/>
    </xf>
    <xf numFmtId="9" fontId="0" fillId="0" borderId="0" xfId="0" applyNumberFormat="1"/>
    <xf numFmtId="39" fontId="3" fillId="0" borderId="1" xfId="0" applyNumberFormat="1" applyFont="1" applyBorder="1" applyAlignment="1">
      <alignment vertical="center"/>
    </xf>
    <xf numFmtId="165" fontId="11" fillId="0" borderId="17" xfId="0" applyNumberFormat="1" applyFont="1" applyBorder="1" applyAlignment="1">
      <alignment horizontal="center" wrapText="1"/>
    </xf>
    <xf numFmtId="43" fontId="0" fillId="0" borderId="17" xfId="1" applyFont="1" applyBorder="1" applyAlignment="1">
      <alignment horizontal="center" vertical="center"/>
    </xf>
    <xf numFmtId="43" fontId="0" fillId="0" borderId="17" xfId="1" applyFont="1" applyBorder="1" applyAlignment="1">
      <alignment vertical="center"/>
    </xf>
    <xf numFmtId="39" fontId="12" fillId="2" borderId="1" xfId="1" applyNumberFormat="1" applyFont="1" applyFill="1" applyBorder="1" applyAlignment="1">
      <alignment horizontal="right" wrapText="1"/>
    </xf>
    <xf numFmtId="39" fontId="13" fillId="2" borderId="1" xfId="1" applyNumberFormat="1" applyFont="1" applyFill="1" applyBorder="1" applyAlignment="1">
      <alignment horizontal="right"/>
    </xf>
    <xf numFmtId="39" fontId="13" fillId="0" borderId="1" xfId="1" applyNumberFormat="1" applyFont="1" applyBorder="1" applyAlignment="1">
      <alignment horizontal="right"/>
    </xf>
    <xf numFmtId="4" fontId="13" fillId="2" borderId="1" xfId="1" applyNumberFormat="1" applyFont="1" applyFill="1" applyBorder="1" applyAlignment="1">
      <alignment horizontal="right"/>
    </xf>
    <xf numFmtId="0" fontId="10" fillId="0" borderId="37" xfId="0" applyFont="1" applyBorder="1" applyAlignment="1">
      <alignment horizontal="center" wrapText="1"/>
    </xf>
    <xf numFmtId="165" fontId="11" fillId="0" borderId="17" xfId="2" applyNumberFormat="1" applyFont="1" applyBorder="1" applyAlignment="1">
      <alignment horizontal="center"/>
    </xf>
    <xf numFmtId="165" fontId="10" fillId="0" borderId="17" xfId="2" applyNumberFormat="1" applyFont="1" applyBorder="1" applyAlignment="1">
      <alignment horizontal="center" vertical="center"/>
    </xf>
    <xf numFmtId="165" fontId="11" fillId="0" borderId="17" xfId="2" applyNumberFormat="1" applyFont="1" applyBorder="1" applyAlignment="1">
      <alignment horizontal="center" vertical="center"/>
    </xf>
    <xf numFmtId="165" fontId="10" fillId="0" borderId="17" xfId="2" applyNumberFormat="1" applyFont="1" applyBorder="1" applyAlignment="1">
      <alignment horizontal="center"/>
    </xf>
    <xf numFmtId="165" fontId="11" fillId="0" borderId="12" xfId="0" applyNumberFormat="1" applyFont="1" applyBorder="1" applyAlignment="1">
      <alignment horizontal="center"/>
    </xf>
    <xf numFmtId="43" fontId="10" fillId="0" borderId="7" xfId="1" applyFont="1" applyBorder="1" applyAlignment="1">
      <alignment vertical="center"/>
    </xf>
    <xf numFmtId="0" fontId="10" fillId="0" borderId="26" xfId="0" applyFont="1" applyBorder="1" applyAlignment="1">
      <alignment horizontal="center" vertical="center" wrapText="1"/>
    </xf>
    <xf numFmtId="43" fontId="11" fillId="0" borderId="4" xfId="0" applyNumberFormat="1" applyFont="1" applyBorder="1"/>
    <xf numFmtId="43" fontId="11" fillId="0" borderId="4" xfId="0" applyNumberFormat="1" applyFont="1" applyBorder="1" applyAlignment="1">
      <alignment vertical="center"/>
    </xf>
    <xf numFmtId="43" fontId="10" fillId="0" borderId="4" xfId="0" applyNumberFormat="1" applyFont="1" applyBorder="1" applyAlignment="1">
      <alignment vertical="center"/>
    </xf>
    <xf numFmtId="43" fontId="10" fillId="0" borderId="4" xfId="0" applyNumberFormat="1" applyFont="1" applyBorder="1"/>
    <xf numFmtId="43" fontId="11" fillId="0" borderId="4" xfId="0" applyNumberFormat="1" applyFont="1" applyBorder="1" applyAlignment="1">
      <alignment horizontal="center" vertical="center"/>
    </xf>
    <xf numFmtId="43" fontId="10" fillId="0" borderId="4" xfId="1" applyFont="1" applyBorder="1" applyAlignment="1">
      <alignment wrapText="1"/>
    </xf>
    <xf numFmtId="0" fontId="11" fillId="0" borderId="3" xfId="0" applyFont="1" applyBorder="1" applyAlignment="1">
      <alignment horizontal="center" vertical="center"/>
    </xf>
    <xf numFmtId="43" fontId="11" fillId="0" borderId="4" xfId="1" applyFont="1" applyBorder="1" applyAlignment="1">
      <alignment wrapText="1"/>
    </xf>
    <xf numFmtId="43" fontId="10" fillId="0" borderId="5" xfId="1" applyFont="1" applyBorder="1" applyAlignment="1">
      <alignment vertical="center"/>
    </xf>
    <xf numFmtId="0" fontId="11" fillId="0" borderId="0" xfId="0" applyFont="1"/>
    <xf numFmtId="43" fontId="11" fillId="0" borderId="2" xfId="1" applyFont="1" applyBorder="1"/>
    <xf numFmtId="43" fontId="11" fillId="0" borderId="0" xfId="1" applyFont="1"/>
    <xf numFmtId="0" fontId="11" fillId="0" borderId="12" xfId="0" applyFont="1" applyBorder="1"/>
    <xf numFmtId="43" fontId="10" fillId="0" borderId="2" xfId="1" applyFont="1" applyBorder="1" applyAlignment="1">
      <alignment vertical="center"/>
    </xf>
    <xf numFmtId="43" fontId="15" fillId="0" borderId="1" xfId="1" applyFont="1" applyBorder="1" applyAlignment="1">
      <alignment horizontal="right" vertical="center"/>
    </xf>
    <xf numFmtId="43" fontId="11" fillId="0" borderId="2" xfId="1" applyFont="1" applyBorder="1" applyAlignment="1">
      <alignment wrapText="1"/>
    </xf>
    <xf numFmtId="165" fontId="11" fillId="0" borderId="39" xfId="0" applyNumberFormat="1" applyFont="1" applyBorder="1" applyAlignment="1">
      <alignment horizontal="center" wrapText="1"/>
    </xf>
    <xf numFmtId="165" fontId="11" fillId="0" borderId="39" xfId="0" applyNumberFormat="1" applyFont="1" applyBorder="1" applyAlignment="1">
      <alignment horizontal="center"/>
    </xf>
    <xf numFmtId="165" fontId="10" fillId="0" borderId="39" xfId="0" applyNumberFormat="1" applyFont="1" applyBorder="1" applyAlignment="1">
      <alignment horizontal="center" vertical="center"/>
    </xf>
    <xf numFmtId="43" fontId="14" fillId="0" borderId="1" xfId="1" applyFont="1" applyBorder="1" applyAlignment="1">
      <alignment horizontal="left" vertical="center"/>
    </xf>
    <xf numFmtId="43" fontId="0" fillId="0" borderId="18" xfId="1" applyFont="1" applyBorder="1"/>
    <xf numFmtId="43" fontId="11" fillId="0" borderId="2" xfId="1" applyFont="1" applyBorder="1" applyAlignment="1">
      <alignment vertical="center"/>
    </xf>
    <xf numFmtId="43" fontId="11" fillId="0" borderId="7" xfId="1" applyFont="1" applyBorder="1" applyAlignment="1">
      <alignment vertical="center"/>
    </xf>
    <xf numFmtId="43" fontId="10" fillId="0" borderId="13" xfId="1" applyFont="1" applyBorder="1" applyAlignment="1">
      <alignment vertical="center"/>
    </xf>
    <xf numFmtId="165" fontId="10" fillId="0" borderId="38" xfId="0" applyNumberFormat="1" applyFont="1" applyBorder="1" applyAlignment="1">
      <alignment horizontal="center" vertical="center"/>
    </xf>
    <xf numFmtId="9" fontId="0" fillId="0" borderId="15" xfId="2" applyFont="1" applyBorder="1" applyAlignment="1">
      <alignment horizontal="center"/>
    </xf>
    <xf numFmtId="9" fontId="0" fillId="0" borderId="4" xfId="2" applyFont="1" applyBorder="1" applyAlignment="1">
      <alignment horizontal="center"/>
    </xf>
    <xf numFmtId="9" fontId="3" fillId="0" borderId="4" xfId="2" applyFont="1" applyBorder="1" applyAlignment="1">
      <alignment horizontal="center"/>
    </xf>
    <xf numFmtId="9" fontId="0" fillId="0" borderId="4" xfId="2" applyFont="1" applyBorder="1" applyAlignment="1">
      <alignment horizontal="center" vertical="center"/>
    </xf>
    <xf numFmtId="9" fontId="3" fillId="0" borderId="4" xfId="2" applyFont="1" applyBorder="1" applyAlignment="1">
      <alignment horizontal="center" vertical="center"/>
    </xf>
    <xf numFmtId="9" fontId="0" fillId="0" borderId="0" xfId="2" applyFont="1" applyAlignment="1">
      <alignment horizontal="center"/>
    </xf>
    <xf numFmtId="43" fontId="1" fillId="0" borderId="1" xfId="1" applyFont="1" applyBorder="1" applyAlignment="1">
      <alignment horizontal="left"/>
    </xf>
    <xf numFmtId="43" fontId="0" fillId="0" borderId="1" xfId="1" applyFont="1" applyBorder="1" applyAlignment="1">
      <alignment horizontal="right" vertical="center" wrapText="1"/>
    </xf>
    <xf numFmtId="43" fontId="1" fillId="0" borderId="1" xfId="1" applyFont="1" applyBorder="1"/>
    <xf numFmtId="0" fontId="0" fillId="0" borderId="3" xfId="0" applyFont="1" applyBorder="1"/>
    <xf numFmtId="43" fontId="1" fillId="0" borderId="1" xfId="1" applyFont="1" applyBorder="1" applyAlignment="1">
      <alignment horizontal="left" wrapText="1"/>
    </xf>
    <xf numFmtId="43" fontId="1" fillId="0" borderId="1" xfId="1" applyFont="1" applyBorder="1" applyAlignment="1">
      <alignment vertical="center"/>
    </xf>
    <xf numFmtId="43" fontId="0" fillId="0" borderId="2" xfId="0" applyNumberFormat="1" applyFont="1" applyBorder="1" applyAlignment="1">
      <alignment vertical="center"/>
    </xf>
    <xf numFmtId="9" fontId="1" fillId="0" borderId="4" xfId="2" applyFont="1" applyBorder="1" applyAlignment="1">
      <alignment horizontal="center" vertical="center"/>
    </xf>
    <xf numFmtId="43" fontId="1" fillId="0" borderId="17" xfId="1" applyFont="1" applyBorder="1"/>
    <xf numFmtId="4" fontId="0" fillId="0" borderId="0" xfId="0" applyNumberFormat="1" applyFont="1"/>
    <xf numFmtId="0" fontId="0" fillId="0" borderId="0" xfId="0" applyFont="1"/>
    <xf numFmtId="43" fontId="0" fillId="0" borderId="2" xfId="0" applyNumberFormat="1" applyFont="1" applyBorder="1"/>
    <xf numFmtId="9" fontId="1" fillId="0" borderId="4" xfId="2" applyFont="1" applyBorder="1" applyAlignment="1">
      <alignment horizontal="center"/>
    </xf>
    <xf numFmtId="43" fontId="0" fillId="0" borderId="1" xfId="0" applyNumberFormat="1" applyFont="1" applyBorder="1" applyAlignment="1">
      <alignment vertical="center"/>
    </xf>
    <xf numFmtId="43" fontId="0" fillId="0" borderId="7" xfId="1" applyFont="1" applyBorder="1" applyAlignment="1">
      <alignment horizontal="left" wrapText="1"/>
    </xf>
    <xf numFmtId="9" fontId="0" fillId="0" borderId="1" xfId="2" applyFont="1" applyBorder="1" applyAlignment="1">
      <alignment horizontal="center"/>
    </xf>
    <xf numFmtId="9" fontId="3" fillId="0" borderId="1" xfId="2" applyFont="1" applyBorder="1" applyAlignment="1">
      <alignment horizontal="center"/>
    </xf>
    <xf numFmtId="43" fontId="4" fillId="0" borderId="17" xfId="1" applyFont="1" applyBorder="1" applyAlignment="1">
      <alignment vertical="center"/>
    </xf>
    <xf numFmtId="0" fontId="4" fillId="0" borderId="0" xfId="0" applyFont="1" applyAlignment="1">
      <alignment vertical="center"/>
    </xf>
    <xf numFmtId="9" fontId="3" fillId="0" borderId="1" xfId="2" applyFont="1" applyBorder="1" applyAlignment="1">
      <alignment horizontal="center" vertical="center"/>
    </xf>
    <xf numFmtId="43" fontId="3" fillId="0" borderId="1" xfId="1" applyFont="1" applyBorder="1" applyAlignment="1">
      <alignment horizontal="left" vertical="center" wrapText="1"/>
    </xf>
    <xf numFmtId="4" fontId="0" fillId="0" borderId="0" xfId="1" applyNumberFormat="1" applyFont="1"/>
    <xf numFmtId="43" fontId="12" fillId="0" borderId="1" xfId="1" applyFont="1" applyBorder="1" applyAlignment="1">
      <alignment horizontal="right"/>
    </xf>
    <xf numFmtId="2" fontId="0" fillId="0" borderId="7" xfId="1" applyNumberFormat="1" applyFont="1" applyBorder="1" applyAlignment="1">
      <alignment horizontal="center" wrapText="1"/>
    </xf>
    <xf numFmtId="0" fontId="0" fillId="0" borderId="3" xfId="0" applyBorder="1" applyAlignment="1">
      <alignment vertical="center"/>
    </xf>
    <xf numFmtId="43" fontId="0" fillId="0" borderId="1" xfId="1" applyFont="1" applyBorder="1" applyAlignment="1">
      <alignment horizontal="left" vertical="center" wrapText="1"/>
    </xf>
    <xf numFmtId="43" fontId="0" fillId="0" borderId="7" xfId="0" applyNumberFormat="1" applyBorder="1"/>
    <xf numFmtId="43" fontId="0" fillId="0" borderId="0" xfId="1" applyFont="1" applyBorder="1"/>
    <xf numFmtId="0" fontId="0" fillId="0" borderId="0" xfId="0" applyBorder="1"/>
    <xf numFmtId="43" fontId="3" fillId="0" borderId="5" xfId="1" applyFont="1" applyBorder="1" applyAlignment="1">
      <alignment horizontal="left" vertical="center" wrapText="1"/>
    </xf>
    <xf numFmtId="43" fontId="3" fillId="0" borderId="5" xfId="1" applyFont="1" applyBorder="1" applyAlignment="1">
      <alignment vertical="center"/>
    </xf>
    <xf numFmtId="43" fontId="3" fillId="0" borderId="5" xfId="0" applyNumberFormat="1" applyFont="1" applyBorder="1" applyAlignment="1">
      <alignment vertical="center"/>
    </xf>
    <xf numFmtId="9" fontId="3" fillId="0" borderId="6" xfId="2" applyFont="1" applyBorder="1" applyAlignment="1">
      <alignment horizontal="center" vertical="center"/>
    </xf>
    <xf numFmtId="4" fontId="0" fillId="0" borderId="0" xfId="0" applyNumberFormat="1" applyAlignment="1">
      <alignment horizontal="center"/>
    </xf>
    <xf numFmtId="4" fontId="0" fillId="0" borderId="0" xfId="1" applyNumberFormat="1" applyFont="1" applyAlignment="1">
      <alignment horizontal="center"/>
    </xf>
    <xf numFmtId="43" fontId="1" fillId="0" borderId="1" xfId="1" applyFont="1" applyBorder="1" applyAlignment="1">
      <alignment horizontal="center"/>
    </xf>
    <xf numFmtId="43" fontId="1" fillId="0" borderId="1" xfId="1" applyFont="1" applyBorder="1" applyAlignment="1">
      <alignment horizontal="center" vertical="center"/>
    </xf>
    <xf numFmtId="43" fontId="1" fillId="0" borderId="0" xfId="1" applyFont="1"/>
    <xf numFmtId="9" fontId="4" fillId="0" borderId="26" xfId="2" applyFont="1" applyBorder="1" applyAlignment="1">
      <alignment horizontal="center" vertical="center" wrapText="1"/>
    </xf>
    <xf numFmtId="165" fontId="0" fillId="0" borderId="15" xfId="2" applyNumberFormat="1" applyFont="1" applyBorder="1" applyAlignment="1">
      <alignment horizontal="center"/>
    </xf>
    <xf numFmtId="165" fontId="8" fillId="0" borderId="4" xfId="2" applyNumberFormat="1" applyFont="1" applyBorder="1" applyAlignment="1">
      <alignment horizontal="center" vertical="center" wrapText="1"/>
    </xf>
    <xf numFmtId="165" fontId="0" fillId="0" borderId="4" xfId="2" applyNumberFormat="1" applyFont="1" applyBorder="1" applyAlignment="1">
      <alignment horizontal="center"/>
    </xf>
    <xf numFmtId="165" fontId="3" fillId="0" borderId="4" xfId="2" applyNumberFormat="1" applyFont="1" applyBorder="1" applyAlignment="1">
      <alignment horizontal="center"/>
    </xf>
    <xf numFmtId="165" fontId="1" fillId="0" borderId="4" xfId="2" applyNumberFormat="1" applyFont="1" applyBorder="1" applyAlignment="1">
      <alignment horizontal="center"/>
    </xf>
    <xf numFmtId="165" fontId="0" fillId="0" borderId="4" xfId="2" applyNumberFormat="1" applyFont="1" applyBorder="1" applyAlignment="1">
      <alignment horizontal="center" vertical="center"/>
    </xf>
    <xf numFmtId="165" fontId="3" fillId="0" borderId="4" xfId="2" applyNumberFormat="1" applyFont="1" applyBorder="1" applyAlignment="1">
      <alignment horizontal="center" vertical="center"/>
    </xf>
    <xf numFmtId="165" fontId="1" fillId="0" borderId="4" xfId="2" applyNumberFormat="1" applyFont="1" applyBorder="1" applyAlignment="1">
      <alignment horizontal="center" vertical="center"/>
    </xf>
    <xf numFmtId="165" fontId="0" fillId="0" borderId="1" xfId="2" applyNumberFormat="1" applyFont="1" applyBorder="1" applyAlignment="1">
      <alignment horizontal="center"/>
    </xf>
    <xf numFmtId="165" fontId="3" fillId="0" borderId="1" xfId="2" applyNumberFormat="1" applyFont="1" applyBorder="1" applyAlignment="1">
      <alignment horizontal="center"/>
    </xf>
    <xf numFmtId="165" fontId="3" fillId="0" borderId="1" xfId="2" applyNumberFormat="1" applyFont="1" applyBorder="1" applyAlignment="1">
      <alignment horizontal="center" vertical="center"/>
    </xf>
    <xf numFmtId="165" fontId="0" fillId="0" borderId="0" xfId="2" applyNumberFormat="1" applyFont="1" applyAlignment="1">
      <alignment horizontal="center"/>
    </xf>
    <xf numFmtId="43" fontId="11" fillId="0" borderId="0" xfId="0" applyNumberFormat="1" applyFont="1"/>
    <xf numFmtId="43" fontId="11" fillId="0" borderId="0" xfId="1" applyFont="1" applyAlignment="1">
      <alignment horizontal="center"/>
    </xf>
    <xf numFmtId="43" fontId="11" fillId="0" borderId="12" xfId="1" applyFont="1" applyBorder="1" applyAlignment="1">
      <alignment horizontal="center"/>
    </xf>
    <xf numFmtId="43" fontId="4" fillId="0" borderId="30" xfId="1" applyFont="1" applyBorder="1" applyAlignment="1">
      <alignment horizontal="left" wrapText="1"/>
    </xf>
    <xf numFmtId="43" fontId="4" fillId="0" borderId="30" xfId="1" applyFont="1" applyBorder="1" applyAlignment="1">
      <alignment horizontal="center" vertical="center"/>
    </xf>
    <xf numFmtId="43" fontId="4" fillId="0" borderId="40" xfId="1" applyFont="1" applyBorder="1" applyAlignment="1">
      <alignment horizontal="center"/>
    </xf>
    <xf numFmtId="9" fontId="4" fillId="0" borderId="0" xfId="2" applyFont="1" applyBorder="1" applyAlignment="1">
      <alignment horizontal="center"/>
    </xf>
    <xf numFmtId="165" fontId="4" fillId="0" borderId="30" xfId="2" applyNumberFormat="1" applyFont="1" applyBorder="1" applyAlignment="1">
      <alignment horizontal="center"/>
    </xf>
    <xf numFmtId="43" fontId="11" fillId="0" borderId="0" xfId="0" applyNumberFormat="1" applyFont="1" applyBorder="1"/>
    <xf numFmtId="43" fontId="4" fillId="0" borderId="0" xfId="1" applyFont="1" applyBorder="1" applyAlignment="1">
      <alignment horizontal="center"/>
    </xf>
    <xf numFmtId="43" fontId="4" fillId="0" borderId="7" xfId="1" applyFont="1" applyBorder="1" applyAlignment="1">
      <alignment horizontal="left" wrapText="1"/>
    </xf>
    <xf numFmtId="4" fontId="4" fillId="0" borderId="7" xfId="1" applyNumberFormat="1" applyFont="1" applyBorder="1" applyAlignment="1">
      <alignment horizontal="center"/>
    </xf>
    <xf numFmtId="0" fontId="4" fillId="0" borderId="41" xfId="0" applyFont="1" applyBorder="1"/>
    <xf numFmtId="0" fontId="4" fillId="0" borderId="42" xfId="0" applyFont="1" applyBorder="1"/>
    <xf numFmtId="43" fontId="4" fillId="0" borderId="42" xfId="0" applyNumberFormat="1" applyFont="1" applyBorder="1"/>
    <xf numFmtId="43" fontId="4" fillId="0" borderId="43" xfId="1" applyFont="1" applyBorder="1" applyAlignment="1">
      <alignment horizontal="center"/>
    </xf>
    <xf numFmtId="9" fontId="4" fillId="0" borderId="23" xfId="2" applyFont="1" applyBorder="1" applyAlignment="1">
      <alignment horizontal="center"/>
    </xf>
    <xf numFmtId="165" fontId="4" fillId="0" borderId="42" xfId="2" applyNumberFormat="1" applyFont="1" applyBorder="1" applyAlignment="1">
      <alignment horizontal="center"/>
    </xf>
    <xf numFmtId="43" fontId="4" fillId="0" borderId="42" xfId="1" applyFont="1" applyBorder="1" applyAlignment="1">
      <alignment horizontal="center"/>
    </xf>
    <xf numFmtId="39" fontId="12" fillId="0" borderId="1" xfId="0" applyNumberFormat="1" applyFont="1" applyBorder="1" applyAlignment="1">
      <alignment horizontal="center"/>
    </xf>
    <xf numFmtId="0" fontId="4" fillId="0" borderId="10" xfId="0" applyFont="1" applyBorder="1" applyAlignment="1"/>
    <xf numFmtId="0" fontId="4" fillId="0" borderId="12" xfId="0" applyFont="1" applyBorder="1" applyAlignment="1"/>
    <xf numFmtId="0" fontId="7" fillId="0" borderId="17" xfId="0" applyFont="1" applyBorder="1" applyAlignment="1">
      <alignment horizontal="center" wrapText="1"/>
    </xf>
    <xf numFmtId="0" fontId="3" fillId="0" borderId="4" xfId="0" applyFont="1" applyBorder="1" applyAlignment="1">
      <alignment horizontal="center" vertical="center"/>
    </xf>
    <xf numFmtId="43" fontId="0" fillId="0" borderId="4" xfId="0" applyNumberFormat="1" applyBorder="1"/>
    <xf numFmtId="43" fontId="3" fillId="0" borderId="4" xfId="0" applyNumberFormat="1" applyFont="1" applyBorder="1"/>
    <xf numFmtId="43" fontId="0" fillId="0" borderId="4" xfId="1" applyFont="1" applyBorder="1" applyAlignment="1">
      <alignment vertical="center"/>
    </xf>
    <xf numFmtId="43" fontId="0" fillId="0" borderId="4" xfId="1" applyFont="1" applyBorder="1"/>
    <xf numFmtId="43" fontId="0" fillId="0" borderId="4" xfId="0" applyNumberFormat="1" applyBorder="1" applyAlignment="1">
      <alignment vertical="center"/>
    </xf>
    <xf numFmtId="0" fontId="0" fillId="0" borderId="11" xfId="0" applyBorder="1" applyAlignment="1">
      <alignment vertical="center"/>
    </xf>
    <xf numFmtId="43" fontId="0" fillId="0" borderId="33" xfId="0" applyNumberFormat="1" applyBorder="1"/>
    <xf numFmtId="43" fontId="16" fillId="0" borderId="0" xfId="1" applyFont="1"/>
    <xf numFmtId="4" fontId="17" fillId="0" borderId="1" xfId="0" applyNumberFormat="1" applyFont="1" applyBorder="1" applyAlignment="1">
      <alignment horizontal="center"/>
    </xf>
    <xf numFmtId="4" fontId="17" fillId="2" borderId="1" xfId="1" applyNumberFormat="1" applyFont="1" applyFill="1" applyBorder="1" applyAlignment="1">
      <alignment horizontal="right" wrapText="1"/>
    </xf>
    <xf numFmtId="4" fontId="17" fillId="2" borderId="1" xfId="1" applyNumberFormat="1" applyFont="1" applyFill="1" applyBorder="1" applyAlignment="1">
      <alignment horizontal="right"/>
    </xf>
    <xf numFmtId="43" fontId="17" fillId="2" borderId="1" xfId="1" applyFont="1" applyFill="1" applyBorder="1" applyAlignment="1">
      <alignment horizontal="center"/>
    </xf>
    <xf numFmtId="39" fontId="18" fillId="0" borderId="1" xfId="1" applyNumberFormat="1" applyFont="1" applyBorder="1" applyAlignment="1">
      <alignment horizontal="center"/>
    </xf>
    <xf numFmtId="39" fontId="17" fillId="2" borderId="1" xfId="1" applyNumberFormat="1" applyFont="1" applyFill="1" applyBorder="1" applyAlignment="1">
      <alignment horizontal="center" vertical="center"/>
    </xf>
    <xf numFmtId="39" fontId="17" fillId="2" borderId="1" xfId="1" applyNumberFormat="1" applyFont="1" applyFill="1" applyBorder="1" applyAlignment="1">
      <alignment horizontal="center"/>
    </xf>
    <xf numFmtId="39" fontId="18" fillId="2" borderId="1" xfId="1" applyNumberFormat="1" applyFont="1" applyFill="1" applyBorder="1" applyAlignment="1">
      <alignment horizontal="center"/>
    </xf>
    <xf numFmtId="4" fontId="18" fillId="0" borderId="1" xfId="0" applyNumberFormat="1" applyFont="1" applyBorder="1" applyAlignment="1">
      <alignment horizontal="center"/>
    </xf>
    <xf numFmtId="4" fontId="17" fillId="0" borderId="1" xfId="0" applyNumberFormat="1" applyFont="1" applyBorder="1" applyAlignment="1">
      <alignment horizontal="center" vertical="center"/>
    </xf>
    <xf numFmtId="43" fontId="17" fillId="0" borderId="1" xfId="1" applyFont="1" applyBorder="1"/>
    <xf numFmtId="4" fontId="17" fillId="2" borderId="1" xfId="1" applyNumberFormat="1" applyFont="1" applyFill="1" applyBorder="1" applyAlignment="1">
      <alignment horizontal="center"/>
    </xf>
    <xf numFmtId="4" fontId="18" fillId="2" borderId="1" xfId="1" applyNumberFormat="1" applyFont="1" applyFill="1" applyBorder="1" applyAlignment="1">
      <alignment horizontal="center"/>
    </xf>
    <xf numFmtId="4" fontId="18" fillId="0" borderId="1" xfId="1" applyNumberFormat="1" applyFont="1" applyBorder="1" applyAlignment="1">
      <alignment horizontal="center"/>
    </xf>
    <xf numFmtId="4" fontId="17" fillId="0" borderId="1" xfId="1" applyNumberFormat="1" applyFont="1" applyBorder="1" applyAlignment="1">
      <alignment horizontal="center"/>
    </xf>
    <xf numFmtId="0" fontId="17" fillId="0" borderId="1" xfId="0" applyFont="1" applyBorder="1"/>
    <xf numFmtId="39" fontId="17" fillId="0" borderId="1" xfId="0" applyNumberFormat="1" applyFont="1" applyBorder="1" applyAlignment="1">
      <alignment vertical="center"/>
    </xf>
    <xf numFmtId="4" fontId="17" fillId="0" borderId="1" xfId="0" applyNumberFormat="1" applyFont="1" applyBorder="1" applyAlignment="1">
      <alignment vertical="center"/>
    </xf>
    <xf numFmtId="4" fontId="17" fillId="0" borderId="1" xfId="0" applyNumberFormat="1" applyFont="1" applyBorder="1"/>
    <xf numFmtId="39" fontId="17" fillId="4" borderId="1" xfId="0" applyNumberFormat="1" applyFont="1" applyFill="1" applyBorder="1"/>
    <xf numFmtId="0" fontId="16" fillId="0" borderId="1" xfId="0" applyFont="1" applyBorder="1"/>
    <xf numFmtId="39" fontId="16" fillId="2" borderId="0" xfId="0" applyNumberFormat="1" applyFont="1" applyFill="1"/>
    <xf numFmtId="39" fontId="16" fillId="0" borderId="0" xfId="0" applyNumberFormat="1" applyFont="1"/>
    <xf numFmtId="0" fontId="16" fillId="0" borderId="0" xfId="0" applyFont="1"/>
    <xf numFmtId="43" fontId="16" fillId="0" borderId="0" xfId="0" applyNumberFormat="1" applyFont="1"/>
    <xf numFmtId="4" fontId="16" fillId="2" borderId="0" xfId="0" applyNumberFormat="1" applyFont="1" applyFill="1"/>
    <xf numFmtId="166" fontId="12" fillId="0" borderId="1" xfId="1" applyNumberFormat="1" applyFont="1" applyBorder="1" applyAlignment="1">
      <alignment horizontal="center"/>
    </xf>
    <xf numFmtId="4" fontId="0" fillId="0" borderId="0" xfId="0" applyNumberFormat="1" applyAlignment="1">
      <alignment horizontal="right"/>
    </xf>
    <xf numFmtId="0" fontId="14" fillId="0" borderId="10" xfId="0" applyFont="1" applyBorder="1" applyAlignment="1"/>
    <xf numFmtId="0" fontId="14" fillId="0" borderId="12" xfId="0" applyFont="1" applyBorder="1" applyAlignment="1"/>
    <xf numFmtId="43" fontId="15" fillId="0" borderId="0" xfId="1" applyFont="1" applyAlignment="1">
      <alignment horizontal="center"/>
    </xf>
    <xf numFmtId="4" fontId="12" fillId="0" borderId="1" xfId="0" applyNumberFormat="1" applyFont="1" applyBorder="1" applyAlignment="1">
      <alignment horizontal="right"/>
    </xf>
    <xf numFmtId="0" fontId="0" fillId="0" borderId="16" xfId="0" applyBorder="1" applyAlignment="1">
      <alignment vertical="center"/>
    </xf>
    <xf numFmtId="43" fontId="15" fillId="0" borderId="5" xfId="1" applyFont="1" applyBorder="1" applyAlignment="1">
      <alignment horizontal="left" vertical="center" wrapText="1"/>
    </xf>
    <xf numFmtId="39" fontId="11" fillId="0" borderId="4" xfId="0" applyNumberFormat="1" applyFont="1" applyBorder="1" applyAlignment="1">
      <alignment horizontal="right" vertical="center"/>
    </xf>
    <xf numFmtId="39" fontId="10" fillId="0" borderId="4" xfId="0" applyNumberFormat="1" applyFont="1" applyBorder="1" applyAlignment="1">
      <alignment horizontal="right" vertical="center"/>
    </xf>
    <xf numFmtId="43" fontId="10" fillId="0" borderId="4" xfId="0" applyNumberFormat="1" applyFont="1" applyBorder="1" applyAlignment="1">
      <alignment horizontal="right"/>
    </xf>
    <xf numFmtId="43" fontId="11" fillId="0" borderId="4" xfId="0" applyNumberFormat="1" applyFont="1" applyBorder="1" applyAlignment="1">
      <alignment horizontal="right"/>
    </xf>
    <xf numFmtId="39" fontId="0" fillId="0" borderId="1" xfId="0" applyNumberFormat="1" applyBorder="1" applyAlignment="1">
      <alignment horizontal="center"/>
    </xf>
    <xf numFmtId="4" fontId="12" fillId="0" borderId="1" xfId="0" applyNumberFormat="1" applyFont="1" applyBorder="1" applyAlignment="1">
      <alignment horizontal="right" vertical="center"/>
    </xf>
    <xf numFmtId="43" fontId="0" fillId="0" borderId="23" xfId="1" applyFont="1" applyBorder="1"/>
    <xf numFmtId="43" fontId="11" fillId="0" borderId="23" xfId="1" applyFont="1" applyBorder="1"/>
    <xf numFmtId="0" fontId="0" fillId="0" borderId="22" xfId="0" applyBorder="1"/>
    <xf numFmtId="3" fontId="12" fillId="0" borderId="1" xfId="0" applyNumberFormat="1" applyFont="1" applyBorder="1" applyAlignment="1">
      <alignment horizontal="center"/>
    </xf>
    <xf numFmtId="43" fontId="4" fillId="0" borderId="20" xfId="1" applyFont="1" applyBorder="1" applyAlignment="1">
      <alignment horizontal="left"/>
    </xf>
    <xf numFmtId="49" fontId="4" fillId="0" borderId="23" xfId="1" applyNumberFormat="1" applyFont="1" applyBorder="1" applyAlignment="1">
      <alignment wrapText="1"/>
    </xf>
    <xf numFmtId="49" fontId="4" fillId="0" borderId="22" xfId="1" applyNumberFormat="1" applyFont="1" applyBorder="1" applyAlignment="1">
      <alignment wrapText="1"/>
    </xf>
    <xf numFmtId="9" fontId="0" fillId="0" borderId="12" xfId="2" applyFont="1" applyBorder="1" applyAlignment="1">
      <alignment horizontal="center"/>
    </xf>
    <xf numFmtId="0" fontId="3" fillId="0" borderId="1" xfId="0" applyFont="1" applyBorder="1" applyAlignment="1">
      <alignment horizontal="center" vertical="center"/>
    </xf>
    <xf numFmtId="0" fontId="19" fillId="0" borderId="0" xfId="3"/>
    <xf numFmtId="43" fontId="12" fillId="5" borderId="1" xfId="1" applyFont="1" applyFill="1" applyBorder="1"/>
    <xf numFmtId="4" fontId="3" fillId="0" borderId="0" xfId="0" applyNumberFormat="1" applyFont="1" applyAlignment="1">
      <alignment horizontal="left"/>
    </xf>
    <xf numFmtId="4" fontId="0" fillId="0" borderId="0" xfId="0" applyNumberFormat="1" applyFont="1" applyAlignment="1">
      <alignment horizontal="left"/>
    </xf>
    <xf numFmtId="4" fontId="0" fillId="0" borderId="0" xfId="0" applyNumberFormat="1" applyAlignment="1">
      <alignment horizontal="left" vertical="center"/>
    </xf>
    <xf numFmtId="39" fontId="0" fillId="0" borderId="0" xfId="1" applyNumberFormat="1" applyFont="1" applyAlignment="1">
      <alignment horizontal="left"/>
    </xf>
    <xf numFmtId="39" fontId="0" fillId="0" borderId="1" xfId="1" applyNumberFormat="1" applyFont="1" applyBorder="1" applyAlignment="1">
      <alignment horizontal="left"/>
    </xf>
    <xf numFmtId="43" fontId="1" fillId="5" borderId="0" xfId="1" applyFont="1" applyFill="1"/>
    <xf numFmtId="0" fontId="0" fillId="0" borderId="0" xfId="0" applyFont="1" applyAlignment="1">
      <alignment horizontal="left" vertical="top"/>
    </xf>
    <xf numFmtId="43" fontId="20" fillId="0" borderId="1" xfId="1" applyFont="1" applyBorder="1"/>
    <xf numFmtId="43" fontId="5" fillId="0" borderId="17" xfId="1" applyFont="1" applyBorder="1"/>
    <xf numFmtId="43" fontId="4" fillId="0" borderId="45" xfId="1" applyFont="1" applyBorder="1" applyAlignment="1">
      <alignment horizontal="center"/>
    </xf>
    <xf numFmtId="0" fontId="4" fillId="0" borderId="11" xfId="0" applyFont="1" applyBorder="1"/>
    <xf numFmtId="43" fontId="4" fillId="0" borderId="0" xfId="1" applyFont="1" applyBorder="1" applyAlignment="1">
      <alignment horizontal="center" vertical="center"/>
    </xf>
    <xf numFmtId="43" fontId="4" fillId="0" borderId="46" xfId="1" applyFont="1" applyBorder="1" applyAlignment="1">
      <alignment horizontal="center"/>
    </xf>
    <xf numFmtId="165" fontId="11" fillId="0" borderId="0" xfId="2" applyNumberFormat="1" applyFont="1" applyBorder="1"/>
    <xf numFmtId="43" fontId="11" fillId="0" borderId="0" xfId="0" applyNumberFormat="1" applyFont="1" applyAlignment="1"/>
    <xf numFmtId="43" fontId="11" fillId="0" borderId="0" xfId="1" applyFont="1" applyAlignment="1"/>
    <xf numFmtId="43" fontId="11" fillId="0" borderId="12" xfId="1" applyFont="1" applyBorder="1" applyAlignment="1"/>
    <xf numFmtId="0" fontId="11" fillId="0" borderId="12" xfId="0" applyFont="1" applyBorder="1" applyAlignment="1"/>
    <xf numFmtId="49" fontId="5" fillId="0" borderId="1" xfId="1" applyNumberFormat="1" applyFont="1" applyBorder="1" applyAlignment="1">
      <alignment horizontal="left"/>
    </xf>
    <xf numFmtId="43" fontId="5" fillId="0" borderId="4" xfId="1" applyFont="1" applyBorder="1" applyAlignment="1">
      <alignment horizontal="center"/>
    </xf>
    <xf numFmtId="9" fontId="5" fillId="0" borderId="19" xfId="2" applyFont="1" applyBorder="1" applyAlignment="1">
      <alignment horizontal="center"/>
    </xf>
    <xf numFmtId="4" fontId="4" fillId="0" borderId="17" xfId="2" applyNumberFormat="1" applyFont="1" applyBorder="1"/>
    <xf numFmtId="165" fontId="1" fillId="0" borderId="4" xfId="2" applyNumberFormat="1" applyFont="1" applyBorder="1"/>
    <xf numFmtId="43" fontId="0" fillId="0" borderId="2" xfId="1" applyFont="1" applyBorder="1" applyAlignment="1">
      <alignment horizontal="left"/>
    </xf>
    <xf numFmtId="165" fontId="1" fillId="0" borderId="2" xfId="2" applyNumberFormat="1" applyFont="1" applyBorder="1"/>
    <xf numFmtId="43" fontId="0" fillId="0" borderId="39" xfId="1" applyFont="1" applyBorder="1"/>
    <xf numFmtId="43" fontId="3" fillId="0" borderId="39" xfId="1" applyFont="1" applyBorder="1"/>
    <xf numFmtId="0" fontId="3" fillId="0" borderId="4" xfId="0" applyFont="1" applyBorder="1"/>
    <xf numFmtId="0" fontId="3" fillId="0" borderId="6" xfId="0" applyFont="1" applyBorder="1"/>
    <xf numFmtId="43" fontId="3" fillId="0" borderId="38" xfId="1" applyFont="1" applyBorder="1"/>
    <xf numFmtId="43" fontId="7" fillId="0" borderId="17" xfId="1" applyFont="1" applyBorder="1" applyAlignment="1">
      <alignment horizontal="center" vertical="center"/>
    </xf>
    <xf numFmtId="43" fontId="0" fillId="0" borderId="12" xfId="1" applyFont="1" applyBorder="1"/>
    <xf numFmtId="0" fontId="3" fillId="0" borderId="11" xfId="0" applyFont="1" applyBorder="1"/>
    <xf numFmtId="43" fontId="3" fillId="0" borderId="5" xfId="1" applyFont="1" applyBorder="1" applyAlignment="1">
      <alignment horizontal="left" wrapText="1"/>
    </xf>
    <xf numFmtId="43" fontId="3" fillId="0" borderId="5" xfId="1" applyFont="1" applyBorder="1" applyAlignment="1">
      <alignment horizontal="left"/>
    </xf>
    <xf numFmtId="43" fontId="3" fillId="0" borderId="13" xfId="0" applyNumberFormat="1" applyFont="1" applyBorder="1"/>
    <xf numFmtId="4" fontId="11" fillId="0" borderId="1" xfId="0" applyNumberFormat="1" applyFont="1" applyBorder="1" applyAlignment="1">
      <alignment horizontal="right"/>
    </xf>
    <xf numFmtId="9" fontId="11" fillId="0" borderId="0" xfId="0" applyNumberFormat="1" applyFont="1"/>
    <xf numFmtId="43" fontId="22" fillId="0" borderId="0" xfId="1" applyFont="1"/>
    <xf numFmtId="39" fontId="11" fillId="0" borderId="0" xfId="0" applyNumberFormat="1" applyFont="1"/>
    <xf numFmtId="164" fontId="11" fillId="0" borderId="0" xfId="1" applyNumberFormat="1" applyFont="1"/>
    <xf numFmtId="43" fontId="11" fillId="0" borderId="0" xfId="1" applyFont="1" applyAlignment="1">
      <alignment horizontal="left"/>
    </xf>
    <xf numFmtId="4" fontId="11" fillId="0" borderId="0" xfId="0" applyNumberFormat="1" applyFont="1"/>
    <xf numFmtId="4" fontId="11" fillId="0" borderId="0" xfId="1" applyNumberFormat="1" applyFont="1"/>
    <xf numFmtId="43" fontId="10" fillId="0" borderId="0" xfId="1" applyFont="1"/>
    <xf numFmtId="4" fontId="11" fillId="0" borderId="0" xfId="1" applyNumberFormat="1" applyFont="1" applyAlignment="1">
      <alignment horizontal="center"/>
    </xf>
    <xf numFmtId="4" fontId="11" fillId="0" borderId="0" xfId="0" applyNumberFormat="1" applyFont="1" applyAlignment="1">
      <alignment horizontal="right"/>
    </xf>
    <xf numFmtId="4" fontId="11" fillId="0" borderId="0" xfId="0" applyNumberFormat="1" applyFont="1" applyAlignment="1">
      <alignment horizontal="center"/>
    </xf>
    <xf numFmtId="43" fontId="11" fillId="0" borderId="1" xfId="1" applyFont="1" applyBorder="1" applyAlignment="1">
      <alignment horizontal="left"/>
    </xf>
    <xf numFmtId="4" fontId="11" fillId="0" borderId="1" xfId="0" applyNumberFormat="1" applyFont="1" applyBorder="1" applyAlignment="1">
      <alignment horizontal="center"/>
    </xf>
    <xf numFmtId="4" fontId="22" fillId="0" borderId="1" xfId="0" applyNumberFormat="1" applyFont="1" applyBorder="1" applyAlignment="1">
      <alignment horizontal="center"/>
    </xf>
    <xf numFmtId="4" fontId="10" fillId="0" borderId="1" xfId="0" applyNumberFormat="1" applyFont="1" applyBorder="1" applyAlignment="1">
      <alignment horizontal="center"/>
    </xf>
    <xf numFmtId="166" fontId="11" fillId="0" borderId="1" xfId="1" applyNumberFormat="1" applyFont="1" applyBorder="1" applyAlignment="1">
      <alignment horizontal="center"/>
    </xf>
    <xf numFmtId="43" fontId="11" fillId="0" borderId="1" xfId="1" applyFont="1" applyBorder="1" applyAlignment="1">
      <alignment horizontal="center"/>
    </xf>
    <xf numFmtId="43" fontId="10" fillId="0" borderId="1" xfId="1" applyFont="1" applyBorder="1" applyAlignment="1">
      <alignment horizontal="center"/>
    </xf>
    <xf numFmtId="4" fontId="11" fillId="3" borderId="1" xfId="0" applyNumberFormat="1" applyFont="1" applyFill="1" applyBorder="1" applyAlignment="1">
      <alignment horizontal="center"/>
    </xf>
    <xf numFmtId="164" fontId="11" fillId="3" borderId="1" xfId="1" applyNumberFormat="1" applyFont="1" applyFill="1" applyBorder="1" applyAlignment="1">
      <alignment horizontal="center"/>
    </xf>
    <xf numFmtId="0" fontId="11" fillId="2" borderId="1" xfId="0" applyFont="1" applyFill="1" applyBorder="1" applyAlignment="1">
      <alignment horizontal="left"/>
    </xf>
    <xf numFmtId="39" fontId="11" fillId="0" borderId="1" xfId="1" applyNumberFormat="1" applyFont="1" applyBorder="1" applyAlignment="1">
      <alignment horizontal="center"/>
    </xf>
    <xf numFmtId="39" fontId="11" fillId="2" borderId="1" xfId="1" applyNumberFormat="1" applyFont="1" applyFill="1" applyBorder="1" applyAlignment="1">
      <alignment horizontal="center" wrapText="1"/>
    </xf>
    <xf numFmtId="4" fontId="22" fillId="2" borderId="1" xfId="1" applyNumberFormat="1" applyFont="1" applyFill="1" applyBorder="1" applyAlignment="1">
      <alignment horizontal="right" wrapText="1"/>
    </xf>
    <xf numFmtId="43" fontId="11" fillId="2" borderId="1" xfId="1" applyFont="1" applyFill="1" applyBorder="1" applyAlignment="1">
      <alignment horizontal="center" wrapText="1"/>
    </xf>
    <xf numFmtId="43" fontId="11" fillId="2" borderId="1" xfId="1" applyFont="1" applyFill="1" applyBorder="1"/>
    <xf numFmtId="43" fontId="11" fillId="3" borderId="1" xfId="1" applyFont="1" applyFill="1" applyBorder="1"/>
    <xf numFmtId="164" fontId="11" fillId="0" borderId="1" xfId="1" applyNumberFormat="1" applyFont="1" applyBorder="1"/>
    <xf numFmtId="39" fontId="11" fillId="2" borderId="1" xfId="1" applyNumberFormat="1" applyFont="1" applyFill="1" applyBorder="1" applyAlignment="1">
      <alignment horizontal="center"/>
    </xf>
    <xf numFmtId="4" fontId="22" fillId="2" borderId="1" xfId="1" applyNumberFormat="1" applyFont="1" applyFill="1" applyBorder="1" applyAlignment="1">
      <alignment horizontal="right"/>
    </xf>
    <xf numFmtId="43" fontId="11" fillId="2" borderId="1" xfId="1" applyFont="1" applyFill="1" applyBorder="1" applyAlignment="1">
      <alignment horizontal="center"/>
    </xf>
    <xf numFmtId="43" fontId="22" fillId="2" borderId="1" xfId="1" applyFont="1" applyFill="1" applyBorder="1" applyAlignment="1">
      <alignment horizontal="center"/>
    </xf>
    <xf numFmtId="164" fontId="10" fillId="0" borderId="1" xfId="1" applyNumberFormat="1" applyFont="1" applyBorder="1"/>
    <xf numFmtId="0" fontId="10" fillId="0" borderId="0" xfId="0" applyFont="1"/>
    <xf numFmtId="43" fontId="11" fillId="5" borderId="1" xfId="1" applyFont="1" applyFill="1" applyBorder="1"/>
    <xf numFmtId="43" fontId="10" fillId="0" borderId="1" xfId="1" applyFont="1" applyBorder="1" applyAlignment="1">
      <alignment horizontal="left"/>
    </xf>
    <xf numFmtId="39" fontId="10" fillId="0" borderId="1" xfId="1" applyNumberFormat="1" applyFont="1" applyBorder="1" applyAlignment="1">
      <alignment horizontal="center"/>
    </xf>
    <xf numFmtId="39" fontId="23" fillId="0" borderId="1" xfId="1" applyNumberFormat="1" applyFont="1" applyBorder="1" applyAlignment="1">
      <alignment horizontal="center"/>
    </xf>
    <xf numFmtId="39" fontId="10" fillId="0" borderId="1" xfId="1" applyNumberFormat="1" applyFont="1" applyBorder="1" applyAlignment="1">
      <alignment horizontal="right"/>
    </xf>
    <xf numFmtId="39" fontId="10" fillId="3" borderId="1" xfId="1" applyNumberFormat="1" applyFont="1" applyFill="1" applyBorder="1" applyAlignment="1">
      <alignment horizontal="center"/>
    </xf>
    <xf numFmtId="43" fontId="10" fillId="0" borderId="1" xfId="1" applyNumberFormat="1" applyFont="1" applyBorder="1"/>
    <xf numFmtId="0" fontId="11" fillId="2" borderId="1" xfId="0" applyFont="1" applyFill="1" applyBorder="1" applyAlignment="1">
      <alignment horizontal="right" wrapText="1"/>
    </xf>
    <xf numFmtId="4" fontId="11" fillId="0" borderId="1" xfId="0" applyNumberFormat="1" applyFont="1" applyBorder="1" applyAlignment="1">
      <alignment horizontal="center" vertical="center"/>
    </xf>
    <xf numFmtId="39" fontId="11" fillId="2" borderId="1" xfId="1" applyNumberFormat="1" applyFont="1" applyFill="1" applyBorder="1" applyAlignment="1">
      <alignment horizontal="center" vertical="center"/>
    </xf>
    <xf numFmtId="39" fontId="22" fillId="2" borderId="1" xfId="1" applyNumberFormat="1" applyFont="1" applyFill="1" applyBorder="1" applyAlignment="1">
      <alignment horizontal="center" vertical="center"/>
    </xf>
    <xf numFmtId="4" fontId="11" fillId="0" borderId="1" xfId="1" applyNumberFormat="1" applyFont="1" applyBorder="1" applyAlignment="1">
      <alignment horizontal="center" vertical="center"/>
    </xf>
    <xf numFmtId="43" fontId="11" fillId="2" borderId="1" xfId="1" applyFont="1" applyFill="1" applyBorder="1" applyAlignment="1">
      <alignment horizontal="center" vertical="center"/>
    </xf>
    <xf numFmtId="43" fontId="11" fillId="2" borderId="1" xfId="1" applyFont="1" applyFill="1" applyBorder="1" applyAlignment="1">
      <alignment horizontal="center" vertical="center" wrapText="1"/>
    </xf>
    <xf numFmtId="43" fontId="11" fillId="3" borderId="1" xfId="1" applyFont="1" applyFill="1" applyBorder="1" applyAlignment="1">
      <alignment vertical="center"/>
    </xf>
    <xf numFmtId="4" fontId="11" fillId="0" borderId="1" xfId="1" applyNumberFormat="1" applyFont="1" applyBorder="1" applyAlignment="1">
      <alignment horizontal="center"/>
    </xf>
    <xf numFmtId="39" fontId="22" fillId="2" borderId="1" xfId="1" applyNumberFormat="1" applyFont="1" applyFill="1" applyBorder="1" applyAlignment="1">
      <alignment horizontal="center"/>
    </xf>
    <xf numFmtId="39" fontId="11" fillId="2" borderId="1" xfId="1" applyNumberFormat="1" applyFont="1" applyFill="1" applyBorder="1" applyAlignment="1">
      <alignment horizontal="right" wrapText="1"/>
    </xf>
    <xf numFmtId="43" fontId="11" fillId="0" borderId="1" xfId="1" applyNumberFormat="1" applyFont="1" applyBorder="1"/>
    <xf numFmtId="0" fontId="10" fillId="2" borderId="1" xfId="0" applyFont="1" applyFill="1" applyBorder="1" applyAlignment="1">
      <alignment horizontal="left"/>
    </xf>
    <xf numFmtId="39" fontId="10" fillId="2" borderId="1" xfId="1" applyNumberFormat="1" applyFont="1" applyFill="1" applyBorder="1" applyAlignment="1">
      <alignment horizontal="center"/>
    </xf>
    <xf numFmtId="39" fontId="23" fillId="2" borderId="1" xfId="1" applyNumberFormat="1" applyFont="1" applyFill="1" applyBorder="1" applyAlignment="1">
      <alignment horizontal="center"/>
    </xf>
    <xf numFmtId="39" fontId="10" fillId="2" borderId="1" xfId="1" applyNumberFormat="1" applyFont="1" applyFill="1" applyBorder="1" applyAlignment="1">
      <alignment horizontal="right"/>
    </xf>
    <xf numFmtId="39" fontId="11" fillId="2" borderId="1" xfId="0" applyNumberFormat="1" applyFont="1" applyFill="1" applyBorder="1"/>
    <xf numFmtId="0" fontId="11" fillId="2" borderId="1" xfId="0" applyFont="1" applyFill="1" applyBorder="1"/>
    <xf numFmtId="43" fontId="10" fillId="3" borderId="1" xfId="1" applyFont="1" applyFill="1" applyBorder="1"/>
    <xf numFmtId="0" fontId="10" fillId="0" borderId="1" xfId="0" applyFont="1" applyBorder="1" applyAlignment="1">
      <alignment horizontal="left"/>
    </xf>
    <xf numFmtId="4" fontId="23" fillId="0" borderId="1" xfId="0" applyNumberFormat="1" applyFont="1" applyBorder="1" applyAlignment="1">
      <alignment horizontal="center"/>
    </xf>
    <xf numFmtId="43" fontId="11" fillId="3" borderId="1" xfId="1" applyFont="1" applyFill="1" applyBorder="1" applyAlignment="1">
      <alignment horizontal="center"/>
    </xf>
    <xf numFmtId="0" fontId="11" fillId="0" borderId="1" xfId="0" applyFont="1" applyBorder="1" applyAlignment="1">
      <alignment horizontal="left"/>
    </xf>
    <xf numFmtId="39" fontId="11" fillId="0" borderId="1" xfId="0" applyNumberFormat="1" applyFont="1" applyBorder="1" applyAlignment="1">
      <alignment horizontal="center"/>
    </xf>
    <xf numFmtId="43" fontId="24" fillId="0" borderId="1" xfId="1" applyFont="1" applyBorder="1"/>
    <xf numFmtId="39" fontId="10" fillId="0" borderId="1" xfId="0" applyNumberFormat="1" applyFont="1" applyBorder="1" applyAlignment="1">
      <alignment horizontal="center"/>
    </xf>
    <xf numFmtId="0" fontId="11" fillId="0" borderId="1" xfId="0" applyFont="1" applyBorder="1" applyAlignment="1">
      <alignment horizontal="left" wrapText="1"/>
    </xf>
    <xf numFmtId="4" fontId="11" fillId="0" borderId="1" xfId="1" applyNumberFormat="1" applyFont="1" applyBorder="1" applyAlignment="1">
      <alignment horizontal="center" wrapText="1"/>
    </xf>
    <xf numFmtId="4" fontId="10" fillId="0" borderId="1" xfId="1" applyNumberFormat="1" applyFont="1" applyBorder="1" applyAlignment="1">
      <alignment horizontal="center"/>
    </xf>
    <xf numFmtId="4" fontId="22" fillId="0" borderId="1" xfId="0" applyNumberFormat="1" applyFont="1" applyBorder="1" applyAlignment="1">
      <alignment horizontal="center" vertical="center"/>
    </xf>
    <xf numFmtId="43" fontId="11" fillId="0" borderId="1" xfId="1" applyFont="1" applyBorder="1" applyAlignment="1">
      <alignment horizontal="right"/>
    </xf>
    <xf numFmtId="43" fontId="22" fillId="0" borderId="1" xfId="1" applyFont="1" applyBorder="1"/>
    <xf numFmtId="3" fontId="11" fillId="0" borderId="1" xfId="0" applyNumberFormat="1" applyFont="1" applyBorder="1" applyAlignment="1">
      <alignment horizontal="center"/>
    </xf>
    <xf numFmtId="4" fontId="11" fillId="2" borderId="1" xfId="1" applyNumberFormat="1" applyFont="1" applyFill="1" applyBorder="1" applyAlignment="1">
      <alignment horizontal="center"/>
    </xf>
    <xf numFmtId="4" fontId="22" fillId="2" borderId="1" xfId="1" applyNumberFormat="1" applyFont="1" applyFill="1" applyBorder="1" applyAlignment="1">
      <alignment horizontal="center"/>
    </xf>
    <xf numFmtId="4" fontId="10" fillId="0" borderId="1" xfId="0" applyNumberFormat="1" applyFont="1" applyBorder="1" applyAlignment="1">
      <alignment horizontal="center" vertical="center"/>
    </xf>
    <xf numFmtId="4" fontId="11" fillId="0" borderId="1" xfId="0" applyNumberFormat="1" applyFont="1" applyBorder="1" applyAlignment="1">
      <alignment horizontal="right" vertical="center"/>
    </xf>
    <xf numFmtId="4" fontId="11" fillId="0" borderId="1" xfId="1" applyNumberFormat="1" applyFont="1" applyBorder="1" applyAlignment="1">
      <alignment horizontal="center" vertical="center" wrapText="1"/>
    </xf>
    <xf numFmtId="43" fontId="11" fillId="0" borderId="1" xfId="0" applyNumberFormat="1" applyFont="1" applyBorder="1" applyAlignment="1">
      <alignment horizontal="right"/>
    </xf>
    <xf numFmtId="39" fontId="10" fillId="0" borderId="1" xfId="0" applyNumberFormat="1" applyFont="1" applyBorder="1" applyAlignment="1">
      <alignment horizontal="center" vertical="center"/>
    </xf>
    <xf numFmtId="4" fontId="10" fillId="2" borderId="1" xfId="1" applyNumberFormat="1" applyFont="1" applyFill="1" applyBorder="1" applyAlignment="1">
      <alignment horizontal="center"/>
    </xf>
    <xf numFmtId="4" fontId="23" fillId="2" borderId="1" xfId="1" applyNumberFormat="1" applyFont="1" applyFill="1" applyBorder="1" applyAlignment="1">
      <alignment horizontal="center"/>
    </xf>
    <xf numFmtId="4" fontId="10" fillId="2" borderId="1" xfId="1" applyNumberFormat="1" applyFont="1" applyFill="1" applyBorder="1" applyAlignment="1">
      <alignment horizontal="right"/>
    </xf>
    <xf numFmtId="4" fontId="11" fillId="2" borderId="1" xfId="1" applyNumberFormat="1" applyFont="1" applyFill="1" applyBorder="1" applyAlignment="1">
      <alignment horizontal="center" vertical="center"/>
    </xf>
    <xf numFmtId="43" fontId="11" fillId="3" borderId="1" xfId="1" applyFont="1" applyFill="1" applyBorder="1" applyAlignment="1">
      <alignment horizontal="center" vertical="center"/>
    </xf>
    <xf numFmtId="0" fontId="11" fillId="0" borderId="0" xfId="0" applyFont="1" applyAlignment="1">
      <alignment horizontal="left" vertical="top"/>
    </xf>
    <xf numFmtId="43" fontId="11" fillId="0" borderId="0" xfId="1" applyFont="1" applyAlignment="1">
      <alignment horizontal="left" vertical="top"/>
    </xf>
    <xf numFmtId="43" fontId="10" fillId="2" borderId="1" xfId="1" applyFont="1" applyFill="1" applyBorder="1" applyAlignment="1">
      <alignment horizontal="center"/>
    </xf>
    <xf numFmtId="4" fontId="23" fillId="0" borderId="1" xfId="1" applyNumberFormat="1" applyFont="1" applyBorder="1" applyAlignment="1">
      <alignment horizontal="center"/>
    </xf>
    <xf numFmtId="4" fontId="22" fillId="0" borderId="1" xfId="1" applyNumberFormat="1" applyFont="1" applyBorder="1" applyAlignment="1">
      <alignment horizontal="center"/>
    </xf>
    <xf numFmtId="0" fontId="10" fillId="0" borderId="1" xfId="0" applyFont="1" applyBorder="1"/>
    <xf numFmtId="0" fontId="11" fillId="0" borderId="1" xfId="0" applyFont="1" applyBorder="1"/>
    <xf numFmtId="0" fontId="22" fillId="0" borderId="1" xfId="0" applyFont="1" applyBorder="1"/>
    <xf numFmtId="0" fontId="10" fillId="0" borderId="1" xfId="0" applyFont="1" applyBorder="1" applyAlignment="1">
      <alignment horizontal="left" wrapText="1"/>
    </xf>
    <xf numFmtId="39" fontId="11" fillId="0" borderId="1" xfId="0" applyNumberFormat="1" applyFont="1" applyBorder="1" applyAlignment="1">
      <alignment vertical="center"/>
    </xf>
    <xf numFmtId="39" fontId="22" fillId="0" borderId="1" xfId="0" applyNumberFormat="1" applyFont="1" applyBorder="1" applyAlignment="1">
      <alignment vertical="center"/>
    </xf>
    <xf numFmtId="39" fontId="10" fillId="0" borderId="1" xfId="0" applyNumberFormat="1" applyFont="1" applyBorder="1" applyAlignment="1">
      <alignment vertical="center"/>
    </xf>
    <xf numFmtId="4" fontId="11" fillId="0" borderId="1" xfId="0" applyNumberFormat="1" applyFont="1" applyBorder="1" applyAlignment="1">
      <alignment vertical="center"/>
    </xf>
    <xf numFmtId="4" fontId="22" fillId="0" borderId="1" xfId="0" applyNumberFormat="1" applyFont="1" applyBorder="1" applyAlignment="1">
      <alignment vertical="center"/>
    </xf>
    <xf numFmtId="4" fontId="10" fillId="0" borderId="1" xfId="0" applyNumberFormat="1" applyFont="1" applyBorder="1" applyAlignment="1">
      <alignment vertical="center"/>
    </xf>
    <xf numFmtId="4" fontId="11" fillId="0" borderId="1" xfId="0" applyNumberFormat="1" applyFont="1" applyBorder="1"/>
    <xf numFmtId="4" fontId="22" fillId="0" borderId="1" xfId="0" applyNumberFormat="1" applyFont="1" applyBorder="1"/>
    <xf numFmtId="4" fontId="10" fillId="0" borderId="1" xfId="0" applyNumberFormat="1" applyFont="1" applyBorder="1"/>
    <xf numFmtId="0" fontId="11" fillId="4" borderId="1" xfId="0" applyFont="1" applyFill="1" applyBorder="1" applyAlignment="1">
      <alignment horizontal="left"/>
    </xf>
    <xf numFmtId="39" fontId="11" fillId="4" borderId="1" xfId="0" applyNumberFormat="1" applyFont="1" applyFill="1" applyBorder="1"/>
    <xf numFmtId="39" fontId="22" fillId="4" borderId="1" xfId="0" applyNumberFormat="1" applyFont="1" applyFill="1" applyBorder="1"/>
    <xf numFmtId="4" fontId="10" fillId="4" borderId="1" xfId="0" applyNumberFormat="1" applyFont="1" applyFill="1" applyBorder="1" applyAlignment="1">
      <alignment horizontal="center"/>
    </xf>
    <xf numFmtId="39" fontId="10" fillId="4" borderId="1" xfId="0" applyNumberFormat="1" applyFont="1" applyFill="1" applyBorder="1"/>
    <xf numFmtId="43" fontId="10" fillId="4" borderId="1" xfId="1" applyFont="1" applyFill="1" applyBorder="1"/>
    <xf numFmtId="0" fontId="11" fillId="2" borderId="0" xfId="0" applyFont="1" applyFill="1" applyAlignment="1">
      <alignment horizontal="left"/>
    </xf>
    <xf numFmtId="39" fontId="11" fillId="2" borderId="0" xfId="0" applyNumberFormat="1" applyFont="1" applyFill="1"/>
    <xf numFmtId="39" fontId="22" fillId="2" borderId="0" xfId="0" applyNumberFormat="1" applyFont="1" applyFill="1"/>
    <xf numFmtId="43" fontId="11" fillId="2" borderId="0" xfId="1" applyFont="1" applyFill="1"/>
    <xf numFmtId="43" fontId="11" fillId="2" borderId="0" xfId="0" applyNumberFormat="1" applyFont="1" applyFill="1"/>
    <xf numFmtId="0" fontId="11" fillId="2" borderId="0" xfId="0" applyFont="1" applyFill="1"/>
    <xf numFmtId="4" fontId="22" fillId="2" borderId="0" xfId="0" applyNumberFormat="1" applyFont="1" applyFill="1"/>
    <xf numFmtId="0" fontId="11" fillId="0" borderId="0" xfId="0" applyFont="1" applyAlignment="1">
      <alignment horizontal="left"/>
    </xf>
    <xf numFmtId="39" fontId="22" fillId="0" borderId="0" xfId="0" applyNumberFormat="1" applyFont="1"/>
    <xf numFmtId="0" fontId="22" fillId="0" borderId="0" xfId="0" applyFont="1"/>
    <xf numFmtId="4" fontId="11" fillId="0" borderId="0" xfId="0" applyNumberFormat="1" applyFont="1" applyAlignment="1">
      <alignment horizontal="left"/>
    </xf>
    <xf numFmtId="43" fontId="24" fillId="0" borderId="0" xfId="1" applyFont="1"/>
    <xf numFmtId="4" fontId="24" fillId="0" borderId="0" xfId="0" applyNumberFormat="1" applyFont="1"/>
    <xf numFmtId="43" fontId="22" fillId="0" borderId="0" xfId="0" applyNumberFormat="1" applyFont="1"/>
    <xf numFmtId="43" fontId="0" fillId="0" borderId="4" xfId="0" applyNumberFormat="1" applyFont="1" applyBorder="1"/>
    <xf numFmtId="165" fontId="1" fillId="0" borderId="4" xfId="2" applyNumberFormat="1" applyBorder="1" applyAlignment="1">
      <alignment vertical="center"/>
    </xf>
    <xf numFmtId="43" fontId="0" fillId="0" borderId="4" xfId="0" applyNumberFormat="1" applyFont="1" applyBorder="1" applyAlignment="1">
      <alignment vertical="center"/>
    </xf>
    <xf numFmtId="43" fontId="0" fillId="0" borderId="39" xfId="1" applyFont="1" applyBorder="1" applyAlignment="1">
      <alignment vertical="center"/>
    </xf>
    <xf numFmtId="43" fontId="1" fillId="0" borderId="39" xfId="1" applyFont="1" applyBorder="1"/>
    <xf numFmtId="165" fontId="0" fillId="0" borderId="4" xfId="2" applyNumberFormat="1" applyFont="1" applyBorder="1" applyAlignment="1">
      <alignment vertical="center"/>
    </xf>
    <xf numFmtId="167" fontId="11" fillId="2" borderId="1" xfId="1" applyNumberFormat="1" applyFont="1" applyFill="1" applyBorder="1" applyAlignment="1">
      <alignment horizontal="center"/>
    </xf>
    <xf numFmtId="168" fontId="11" fillId="0" borderId="0" xfId="0" applyNumberFormat="1" applyFont="1"/>
    <xf numFmtId="39" fontId="22" fillId="0" borderId="1" xfId="1" applyNumberFormat="1" applyFont="1" applyBorder="1" applyAlignment="1">
      <alignment horizontal="center"/>
    </xf>
    <xf numFmtId="43" fontId="22" fillId="0" borderId="1" xfId="0" applyNumberFormat="1" applyFont="1" applyBorder="1"/>
    <xf numFmtId="39" fontId="11" fillId="0" borderId="1" xfId="0" applyNumberFormat="1" applyFont="1" applyBorder="1"/>
    <xf numFmtId="43" fontId="3" fillId="0" borderId="0" xfId="1" applyFont="1" applyAlignment="1">
      <alignment vertical="center"/>
    </xf>
    <xf numFmtId="0" fontId="3" fillId="0" borderId="0" xfId="0" applyFont="1" applyAlignment="1">
      <alignment vertical="center"/>
    </xf>
    <xf numFmtId="0" fontId="4" fillId="0" borderId="0" xfId="0" applyFont="1" applyBorder="1" applyAlignment="1"/>
    <xf numFmtId="0" fontId="4" fillId="0" borderId="23" xfId="0" applyFont="1" applyBorder="1" applyAlignment="1"/>
    <xf numFmtId="49" fontId="4" fillId="0" borderId="0" xfId="1" applyNumberFormat="1" applyFont="1" applyBorder="1" applyAlignment="1">
      <alignment wrapText="1"/>
    </xf>
    <xf numFmtId="49" fontId="4" fillId="0" borderId="12" xfId="1" applyNumberFormat="1" applyFont="1" applyBorder="1" applyAlignment="1">
      <alignment wrapText="1"/>
    </xf>
    <xf numFmtId="43" fontId="4" fillId="0" borderId="0" xfId="1" applyFont="1"/>
    <xf numFmtId="43" fontId="4" fillId="0" borderId="1" xfId="1" applyFont="1" applyBorder="1" applyAlignment="1">
      <alignment horizontal="left" vertical="center" wrapText="1"/>
    </xf>
    <xf numFmtId="43" fontId="5" fillId="0" borderId="1" xfId="1" applyFont="1" applyBorder="1" applyAlignment="1">
      <alignment horizontal="left" vertical="center" wrapText="1"/>
    </xf>
    <xf numFmtId="0" fontId="4" fillId="0" borderId="15" xfId="0" applyFont="1" applyBorder="1"/>
    <xf numFmtId="0" fontId="4" fillId="0" borderId="17" xfId="0" applyFont="1" applyBorder="1" applyAlignment="1">
      <alignment horizontal="center" vertical="center" wrapText="1"/>
    </xf>
    <xf numFmtId="9" fontId="4" fillId="0" borderId="17" xfId="2" applyFont="1" applyBorder="1"/>
    <xf numFmtId="9" fontId="5" fillId="0" borderId="17" xfId="2" applyFont="1" applyBorder="1"/>
    <xf numFmtId="9" fontId="4" fillId="0" borderId="17" xfId="2" applyFont="1" applyBorder="1" applyAlignment="1">
      <alignment vertical="center"/>
    </xf>
    <xf numFmtId="43" fontId="4" fillId="0" borderId="32" xfId="1" applyFont="1" applyBorder="1" applyAlignment="1">
      <alignment horizontal="left" wrapText="1"/>
    </xf>
    <xf numFmtId="43" fontId="5" fillId="0" borderId="1" xfId="1" applyFont="1" applyBorder="1" applyAlignment="1">
      <alignment vertical="center"/>
    </xf>
    <xf numFmtId="9" fontId="5" fillId="0" borderId="17" xfId="2" applyFont="1" applyBorder="1" applyAlignment="1">
      <alignment vertical="center"/>
    </xf>
    <xf numFmtId="0" fontId="3" fillId="0" borderId="3" xfId="0" applyFont="1" applyBorder="1" applyAlignment="1">
      <alignment vertical="center"/>
    </xf>
    <xf numFmtId="4" fontId="5" fillId="0" borderId="17" xfId="2" applyNumberFormat="1" applyFont="1" applyBorder="1"/>
    <xf numFmtId="43" fontId="4" fillId="0" borderId="0" xfId="1" applyFont="1" applyBorder="1"/>
    <xf numFmtId="43" fontId="4" fillId="0" borderId="32" xfId="1" applyFont="1" applyBorder="1" applyAlignment="1">
      <alignment horizontal="left"/>
    </xf>
    <xf numFmtId="43" fontId="5" fillId="2" borderId="1" xfId="1" applyFont="1" applyFill="1" applyBorder="1" applyAlignment="1">
      <alignment horizontal="center"/>
    </xf>
    <xf numFmtId="9" fontId="4" fillId="0" borderId="12" xfId="2" applyFont="1" applyBorder="1" applyAlignment="1">
      <alignment horizontal="center"/>
    </xf>
    <xf numFmtId="0" fontId="4" fillId="0" borderId="16" xfId="0" applyFont="1" applyBorder="1"/>
    <xf numFmtId="9" fontId="4" fillId="0" borderId="22" xfId="2" applyFont="1" applyBorder="1" applyAlignment="1">
      <alignment horizontal="center"/>
    </xf>
    <xf numFmtId="4" fontId="4" fillId="0" borderId="17" xfId="2" applyNumberFormat="1" applyFont="1" applyBorder="1" applyAlignment="1">
      <alignment vertical="center"/>
    </xf>
    <xf numFmtId="43" fontId="5" fillId="0" borderId="20" xfId="1" applyFont="1" applyBorder="1" applyAlignment="1">
      <alignment horizontal="center" vertical="center"/>
    </xf>
    <xf numFmtId="43" fontId="5" fillId="0" borderId="20" xfId="0" applyNumberFormat="1" applyFont="1" applyBorder="1" applyAlignment="1">
      <alignment vertical="center"/>
    </xf>
    <xf numFmtId="43" fontId="4" fillId="0" borderId="27" xfId="1" applyFont="1" applyBorder="1" applyAlignment="1">
      <alignment horizontal="left"/>
    </xf>
    <xf numFmtId="43" fontId="4" fillId="0" borderId="44" xfId="1" applyFont="1" applyBorder="1" applyAlignment="1">
      <alignment horizontal="left"/>
    </xf>
    <xf numFmtId="0" fontId="0" fillId="0" borderId="3" xfId="0" applyBorder="1" applyAlignment="1">
      <alignment horizontal="center" wrapText="1"/>
    </xf>
    <xf numFmtId="43" fontId="4" fillId="0" borderId="32" xfId="1" applyFont="1" applyBorder="1" applyAlignment="1">
      <alignment horizontal="left" vertical="center" wrapText="1"/>
    </xf>
    <xf numFmtId="43" fontId="4" fillId="0" borderId="1" xfId="1" applyFont="1" applyBorder="1" applyAlignment="1">
      <alignment horizontal="left" vertical="center"/>
    </xf>
    <xf numFmtId="43" fontId="3" fillId="0" borderId="17" xfId="1" applyFont="1" applyBorder="1" applyAlignment="1">
      <alignment vertical="center"/>
    </xf>
    <xf numFmtId="169" fontId="11" fillId="0" borderId="1" xfId="0" applyNumberFormat="1" applyFont="1" applyBorder="1" applyAlignment="1">
      <alignment horizontal="center"/>
    </xf>
    <xf numFmtId="43" fontId="5" fillId="0" borderId="0" xfId="1" applyFont="1" applyBorder="1" applyAlignment="1">
      <alignment horizontal="right" wrapText="1"/>
    </xf>
    <xf numFmtId="43" fontId="5" fillId="0" borderId="20" xfId="1" applyFont="1" applyBorder="1" applyAlignment="1">
      <alignment horizontal="right" vertical="center"/>
    </xf>
    <xf numFmtId="43" fontId="5" fillId="0" borderId="2" xfId="1" applyFont="1" applyBorder="1" applyAlignment="1">
      <alignment horizontal="right" vertical="center"/>
    </xf>
    <xf numFmtId="165" fontId="5" fillId="0" borderId="0" xfId="2" applyNumberFormat="1" applyFont="1" applyBorder="1" applyAlignment="1">
      <alignment wrapText="1"/>
    </xf>
    <xf numFmtId="43" fontId="4" fillId="0" borderId="32" xfId="1"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0" xfId="0" applyFont="1" applyBorder="1" applyAlignment="1">
      <alignment horizontal="center"/>
    </xf>
    <xf numFmtId="0" fontId="4" fillId="0" borderId="12" xfId="0" applyFont="1" applyBorder="1" applyAlignment="1">
      <alignment horizontal="center"/>
    </xf>
    <xf numFmtId="43" fontId="0" fillId="0" borderId="44" xfId="1" applyFont="1" applyBorder="1" applyAlignment="1">
      <alignment horizontal="left" wrapText="1"/>
    </xf>
    <xf numFmtId="43" fontId="0" fillId="0" borderId="23" xfId="1" applyFont="1" applyBorder="1" applyAlignment="1">
      <alignment horizontal="left" wrapText="1"/>
    </xf>
    <xf numFmtId="43" fontId="0" fillId="0" borderId="22" xfId="1" applyFont="1" applyBorder="1" applyAlignment="1">
      <alignment horizontal="left" wrapText="1"/>
    </xf>
    <xf numFmtId="49" fontId="0" fillId="0" borderId="27" xfId="1" applyNumberFormat="1" applyFont="1" applyBorder="1" applyAlignment="1">
      <alignment horizontal="left" wrapText="1"/>
    </xf>
    <xf numFmtId="49" fontId="0" fillId="0" borderId="0" xfId="1" applyNumberFormat="1" applyFont="1" applyBorder="1" applyAlignment="1">
      <alignment horizontal="left" wrapText="1"/>
    </xf>
    <xf numFmtId="49" fontId="0" fillId="0" borderId="12" xfId="1" applyNumberFormat="1" applyFont="1" applyBorder="1" applyAlignment="1">
      <alignment horizontal="left" wrapText="1"/>
    </xf>
    <xf numFmtId="43" fontId="0" fillId="0" borderId="27" xfId="1" applyFont="1" applyBorder="1" applyAlignment="1">
      <alignment horizontal="left" wrapText="1"/>
    </xf>
    <xf numFmtId="43" fontId="0" fillId="0" borderId="0" xfId="1" applyFont="1" applyBorder="1" applyAlignment="1">
      <alignment horizontal="left" wrapText="1"/>
    </xf>
    <xf numFmtId="43" fontId="0" fillId="0" borderId="12" xfId="1" applyFont="1" applyBorder="1" applyAlignment="1">
      <alignment horizontal="left" wrapText="1"/>
    </xf>
    <xf numFmtId="43" fontId="0" fillId="0" borderId="27" xfId="1" applyFont="1" applyBorder="1" applyAlignment="1">
      <alignment horizontal="left"/>
    </xf>
    <xf numFmtId="43" fontId="0" fillId="0" borderId="0" xfId="1" applyFont="1" applyBorder="1" applyAlignment="1">
      <alignment horizontal="left"/>
    </xf>
    <xf numFmtId="43" fontId="0" fillId="0" borderId="12" xfId="1" applyFont="1" applyBorder="1" applyAlignment="1">
      <alignment horizontal="left"/>
    </xf>
    <xf numFmtId="0" fontId="14" fillId="0" borderId="8" xfId="0" applyFont="1" applyBorder="1" applyAlignment="1">
      <alignment horizontal="center"/>
    </xf>
    <xf numFmtId="0" fontId="14" fillId="0" borderId="9" xfId="0" applyFont="1" applyBorder="1" applyAlignment="1">
      <alignment horizontal="center"/>
    </xf>
    <xf numFmtId="0" fontId="14" fillId="0" borderId="11" xfId="0" applyFont="1" applyBorder="1" applyAlignment="1">
      <alignment horizontal="center"/>
    </xf>
    <xf numFmtId="0" fontId="14" fillId="0" borderId="0" xfId="0" applyFont="1" applyBorder="1" applyAlignment="1">
      <alignment horizontal="center"/>
    </xf>
    <xf numFmtId="0" fontId="0" fillId="0" borderId="5" xfId="0" applyBorder="1" applyAlignment="1">
      <alignment horizontal="left" wrapText="1"/>
    </xf>
    <xf numFmtId="0" fontId="0" fillId="0" borderId="6" xfId="0" applyBorder="1" applyAlignment="1">
      <alignment horizontal="left" wrapText="1"/>
    </xf>
    <xf numFmtId="0" fontId="4" fillId="0" borderId="0" xfId="0" applyFont="1" applyAlignment="1">
      <alignment horizontal="center"/>
    </xf>
    <xf numFmtId="49" fontId="4" fillId="0" borderId="11" xfId="0" applyNumberFormat="1" applyFont="1" applyBorder="1" applyAlignment="1">
      <alignment horizontal="center"/>
    </xf>
    <xf numFmtId="49" fontId="4" fillId="0" borderId="0" xfId="0" applyNumberFormat="1" applyFont="1" applyAlignment="1">
      <alignment horizontal="center"/>
    </xf>
    <xf numFmtId="49" fontId="4" fillId="0" borderId="12" xfId="0" applyNumberFormat="1" applyFont="1" applyBorder="1" applyAlignment="1">
      <alignment horizontal="center"/>
    </xf>
    <xf numFmtId="49" fontId="4" fillId="0" borderId="44" xfId="1" applyNumberFormat="1" applyFont="1" applyBorder="1" applyAlignment="1">
      <alignment horizontal="left" wrapText="1"/>
    </xf>
    <xf numFmtId="49" fontId="4" fillId="0" borderId="23" xfId="1" applyNumberFormat="1" applyFont="1" applyBorder="1" applyAlignment="1">
      <alignment horizontal="left" wrapText="1"/>
    </xf>
    <xf numFmtId="49" fontId="4" fillId="0" borderId="22" xfId="1" applyNumberFormat="1" applyFont="1" applyBorder="1" applyAlignment="1">
      <alignment horizontal="left" wrapText="1"/>
    </xf>
    <xf numFmtId="0" fontId="4" fillId="0" borderId="21" xfId="0" applyFont="1" applyBorder="1" applyAlignment="1">
      <alignment horizontal="center"/>
    </xf>
    <xf numFmtId="0" fontId="4" fillId="0" borderId="23" xfId="0" applyFont="1" applyBorder="1" applyAlignment="1">
      <alignment horizontal="center"/>
    </xf>
    <xf numFmtId="43" fontId="11" fillId="0" borderId="27" xfId="0" applyNumberFormat="1" applyFont="1" applyBorder="1" applyAlignment="1">
      <alignment horizontal="left" wrapText="1"/>
    </xf>
    <xf numFmtId="43" fontId="11" fillId="0" borderId="0" xfId="0" applyNumberFormat="1" applyFont="1" applyBorder="1" applyAlignment="1">
      <alignment horizontal="left" wrapText="1"/>
    </xf>
    <xf numFmtId="43" fontId="11" fillId="0" borderId="12" xfId="0" applyNumberFormat="1" applyFont="1" applyBorder="1" applyAlignment="1">
      <alignment horizontal="left" wrapText="1"/>
    </xf>
    <xf numFmtId="0" fontId="5" fillId="0" borderId="20" xfId="0" applyFont="1" applyBorder="1" applyAlignment="1">
      <alignment horizontal="center"/>
    </xf>
    <xf numFmtId="0" fontId="5" fillId="0" borderId="1" xfId="0" applyFont="1" applyBorder="1" applyAlignment="1">
      <alignment horizontal="center"/>
    </xf>
    <xf numFmtId="43" fontId="11" fillId="0" borderId="27" xfId="0" applyNumberFormat="1" applyFont="1" applyBorder="1" applyAlignment="1"/>
    <xf numFmtId="43" fontId="11" fillId="0" borderId="0" xfId="0" applyNumberFormat="1" applyFont="1" applyBorder="1" applyAlignment="1"/>
    <xf numFmtId="43" fontId="11" fillId="0" borderId="12" xfId="0" applyNumberFormat="1" applyFont="1" applyBorder="1" applyAlignment="1"/>
    <xf numFmtId="0" fontId="4" fillId="0" borderId="2" xfId="0" applyFont="1" applyBorder="1" applyAlignment="1">
      <alignment horizontal="left" wrapText="1"/>
    </xf>
    <xf numFmtId="0" fontId="4" fillId="0" borderId="19" xfId="0" applyFont="1" applyBorder="1" applyAlignment="1">
      <alignment horizontal="left" wrapText="1"/>
    </xf>
    <xf numFmtId="49" fontId="11" fillId="0" borderId="27" xfId="0" applyNumberFormat="1" applyFont="1" applyBorder="1" applyAlignment="1">
      <alignment wrapText="1"/>
    </xf>
    <xf numFmtId="49" fontId="11" fillId="0" borderId="0" xfId="0" applyNumberFormat="1" applyFont="1" applyBorder="1" applyAlignment="1">
      <alignment wrapText="1"/>
    </xf>
    <xf numFmtId="49" fontId="11" fillId="0" borderId="12" xfId="0" applyNumberFormat="1" applyFont="1" applyBorder="1" applyAlignment="1">
      <alignment wrapText="1"/>
    </xf>
    <xf numFmtId="0" fontId="4" fillId="0" borderId="2" xfId="1" applyNumberFormat="1" applyFont="1" applyBorder="1" applyAlignment="1">
      <alignment horizontal="left" wrapText="1"/>
    </xf>
    <xf numFmtId="0" fontId="4" fillId="0" borderId="19" xfId="1" applyNumberFormat="1" applyFont="1" applyBorder="1" applyAlignment="1">
      <alignment horizontal="left" wrapText="1"/>
    </xf>
    <xf numFmtId="0" fontId="4" fillId="0" borderId="20" xfId="1" applyNumberFormat="1" applyFont="1" applyBorder="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solidFill>
                  <a:sysClr val="windowText" lastClr="000000"/>
                </a:solidFill>
              </a:rPr>
              <a:t>Pie</a:t>
            </a:r>
            <a:r>
              <a:rPr lang="en-GB" baseline="0">
                <a:solidFill>
                  <a:sysClr val="windowText" lastClr="000000"/>
                </a:solidFill>
              </a:rPr>
              <a:t> Chart of Expenditure 1st Quarter 2019</a:t>
            </a:r>
            <a:endParaRPr lang="en-GB">
              <a:solidFill>
                <a:sysClr val="windowText" lastClr="000000"/>
              </a:solidFill>
            </a:endParaRPr>
          </a:p>
        </c:rich>
      </c:tx>
      <c:spPr>
        <a:noFill/>
        <a:ln>
          <a:noFill/>
        </a:ln>
        <a:effectLst/>
      </c:spPr>
    </c:title>
    <c:view3D>
      <c:rotX val="75"/>
      <c:perspective val="3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0.18513836623040703"/>
          <c:y val="0.27084232837160122"/>
          <c:w val="0.8122548102608419"/>
          <c:h val="0.70029315002327597"/>
        </c:manualLayout>
      </c:layout>
      <c:pie3DChart>
        <c:varyColors val="1"/>
        <c:ser>
          <c:idx val="0"/>
          <c:order val="0"/>
          <c:dPt>
            <c:idx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F742-4B9A-B94C-58A7BB86EA59}"/>
              </c:ext>
            </c:extLst>
          </c:dPt>
          <c:dPt>
            <c:idx val="1"/>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F742-4B9A-B94C-58A7BB86EA59}"/>
              </c:ext>
            </c:extLst>
          </c:dPt>
          <c:dPt>
            <c:idx val="2"/>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F742-4B9A-B94C-58A7BB86EA59}"/>
              </c:ext>
            </c:extLst>
          </c:dPt>
          <c:dPt>
            <c:idx val="3"/>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F742-4B9A-B94C-58A7BB86EA59}"/>
              </c:ext>
            </c:extLst>
          </c:dPt>
          <c:dPt>
            <c:idx val="4"/>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F742-4B9A-B94C-58A7BB86EA59}"/>
              </c:ext>
            </c:extLst>
          </c:dPt>
          <c:dPt>
            <c:idx val="5"/>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F742-4B9A-B94C-58A7BB86EA5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Reports!$B$152:$B$157</c:f>
              <c:strCache>
                <c:ptCount val="6"/>
                <c:pt idx="0">
                  <c:v>A. CHURCH MINISTRIES</c:v>
                </c:pt>
                <c:pt idx="1">
                  <c:v>B. CHURCH STAFF</c:v>
                </c:pt>
                <c:pt idx="2">
                  <c:v>C. OPERATION COSTS</c:v>
                </c:pt>
                <c:pt idx="3">
                  <c:v>D. NEW AUDITORIUM &amp; OTHER PROJECTS</c:v>
                </c:pt>
                <c:pt idx="4">
                  <c:v>E. COOPERATIVE FUNDS</c:v>
                </c:pt>
                <c:pt idx="5">
                  <c:v>F. DESIGNATED SAVINGS</c:v>
                </c:pt>
              </c:strCache>
            </c:strRef>
          </c:cat>
          <c:val>
            <c:numRef>
              <c:f>Reports!$C$152:$C$157</c:f>
              <c:numCache>
                <c:formatCode>_(* #,##0.00_);_(* \(#,##0.00\);_(* "-"??_);_(@_)</c:formatCode>
                <c:ptCount val="6"/>
                <c:pt idx="0">
                  <c:v>1016150</c:v>
                </c:pt>
                <c:pt idx="1">
                  <c:v>0</c:v>
                </c:pt>
                <c:pt idx="2">
                  <c:v>0</c:v>
                </c:pt>
                <c:pt idx="3">
                  <c:v>40000</c:v>
                </c:pt>
                <c:pt idx="4">
                  <c:v>0</c:v>
                </c:pt>
                <c:pt idx="5">
                  <c:v>612317.30000000005</c:v>
                </c:pt>
              </c:numCache>
            </c:numRef>
          </c:val>
          <c:extLst xmlns:c16r2="http://schemas.microsoft.com/office/drawing/2015/06/chart">
            <c:ext xmlns:c16="http://schemas.microsoft.com/office/drawing/2014/chart" uri="{C3380CC4-5D6E-409C-BE32-E72D297353CC}">
              <c16:uniqueId val="{00000000-DE4C-41D8-96DC-0C1253F7D934}"/>
            </c:ext>
          </c:extLst>
        </c:ser>
        <c:dLbls/>
      </c:pie3D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Income &amp; Expenditure by Quarter 2018</a:t>
            </a:r>
            <a:r>
              <a:rPr lang="en-GB" baseline="0"/>
              <a:t> </a:t>
            </a:r>
            <a:endParaRPr lang="en-GB"/>
          </a:p>
        </c:rich>
      </c:tx>
      <c:spPr>
        <a:noFill/>
        <a:ln>
          <a:noFill/>
        </a:ln>
        <a:effectLst/>
      </c:spPr>
    </c:title>
    <c:plotArea>
      <c:layout/>
      <c:barChart>
        <c:barDir val="col"/>
        <c:grouping val="clustered"/>
        <c:ser>
          <c:idx val="0"/>
          <c:order val="0"/>
          <c:tx>
            <c:strRef>
              <c:f>Graphs!$A$2</c:f>
              <c:strCache>
                <c:ptCount val="1"/>
                <c:pt idx="0">
                  <c:v>Total income</c:v>
                </c:pt>
              </c:strCache>
            </c:strRef>
          </c:tx>
          <c:spPr>
            <a:solidFill>
              <a:schemeClr val="accent1"/>
            </a:solidFill>
            <a:ln>
              <a:noFill/>
            </a:ln>
            <a:effectLst/>
          </c:spPr>
          <c:cat>
            <c:strRef>
              <c:f>Graphs!$B$1:$E$1</c:f>
              <c:strCache>
                <c:ptCount val="4"/>
                <c:pt idx="0">
                  <c:v>1st quarter</c:v>
                </c:pt>
                <c:pt idx="1">
                  <c:v>2nd quarter</c:v>
                </c:pt>
                <c:pt idx="2">
                  <c:v>3rd quarter</c:v>
                </c:pt>
                <c:pt idx="3">
                  <c:v>4th quarter</c:v>
                </c:pt>
              </c:strCache>
            </c:strRef>
          </c:cat>
          <c:val>
            <c:numRef>
              <c:f>Graphs!$B$2:$E$2</c:f>
              <c:numCache>
                <c:formatCode>_(* #,##0.00_);_(* \(#,##0.00\);_(* "-"??_);_(@_)</c:formatCode>
                <c:ptCount val="4"/>
                <c:pt idx="0">
                  <c:v>1901167</c:v>
                </c:pt>
                <c:pt idx="1">
                  <c:v>1706804</c:v>
                </c:pt>
                <c:pt idx="2">
                  <c:v>0</c:v>
                </c:pt>
                <c:pt idx="3">
                  <c:v>0</c:v>
                </c:pt>
              </c:numCache>
            </c:numRef>
          </c:val>
          <c:extLst xmlns:c16r2="http://schemas.microsoft.com/office/drawing/2015/06/chart">
            <c:ext xmlns:c16="http://schemas.microsoft.com/office/drawing/2014/chart" uri="{C3380CC4-5D6E-409C-BE32-E72D297353CC}">
              <c16:uniqueId val="{00000000-1881-4CBE-843E-7BC5627DCE7B}"/>
            </c:ext>
          </c:extLst>
        </c:ser>
        <c:ser>
          <c:idx val="1"/>
          <c:order val="1"/>
          <c:tx>
            <c:strRef>
              <c:f>Graphs!$A$3</c:f>
              <c:strCache>
                <c:ptCount val="1"/>
                <c:pt idx="0">
                  <c:v>Total expenditure</c:v>
                </c:pt>
              </c:strCache>
            </c:strRef>
          </c:tx>
          <c:spPr>
            <a:solidFill>
              <a:schemeClr val="accent2"/>
            </a:solidFill>
            <a:ln>
              <a:noFill/>
            </a:ln>
            <a:effectLst/>
          </c:spPr>
          <c:cat>
            <c:strRef>
              <c:f>Graphs!$B$1:$E$1</c:f>
              <c:strCache>
                <c:ptCount val="4"/>
                <c:pt idx="0">
                  <c:v>1st quarter</c:v>
                </c:pt>
                <c:pt idx="1">
                  <c:v>2nd quarter</c:v>
                </c:pt>
                <c:pt idx="2">
                  <c:v>3rd quarter</c:v>
                </c:pt>
                <c:pt idx="3">
                  <c:v>4th quarter</c:v>
                </c:pt>
              </c:strCache>
            </c:strRef>
          </c:cat>
          <c:val>
            <c:numRef>
              <c:f>Graphs!$B$3:$E$3</c:f>
              <c:numCache>
                <c:formatCode>_(* #,##0.00_);_(* \(#,##0.00\);_(* "-"??_);_(@_)</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1881-4CBE-843E-7BC5627DCE7B}"/>
            </c:ext>
          </c:extLst>
        </c:ser>
        <c:dLbls/>
        <c:gapWidth val="219"/>
        <c:overlap val="-27"/>
        <c:axId val="155120768"/>
        <c:axId val="155122304"/>
      </c:barChart>
      <c:catAx>
        <c:axId val="1551207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5122304"/>
        <c:crosses val="autoZero"/>
        <c:auto val="1"/>
        <c:lblAlgn val="ctr"/>
        <c:lblOffset val="100"/>
      </c:catAx>
      <c:valAx>
        <c:axId val="155122304"/>
        <c:scaling>
          <c:orientation val="minMax"/>
        </c:scaling>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0768"/>
        <c:crosses val="autoZero"/>
        <c:crossBetween val="between"/>
      </c:valAx>
      <c:spPr>
        <a:noFill/>
        <a:ln>
          <a:noFill/>
        </a:ln>
        <a:effectLst/>
      </c:spPr>
    </c:plotArea>
    <c:legend>
      <c:legendPos val="b"/>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EXPENDITURE</a:t>
            </a:r>
            <a:r>
              <a:rPr lang="en-US" baseline="0"/>
              <a:t> ANALYSIS BY SECTOR 2018</a:t>
            </a:r>
            <a:endParaRPr lang="en-US"/>
          </a:p>
        </c:rich>
      </c:tx>
      <c:spPr>
        <a:noFill/>
        <a:ln>
          <a:noFill/>
        </a:ln>
        <a:effectLst/>
      </c:spPr>
    </c:title>
    <c:plotArea>
      <c:layout/>
      <c:pieChart>
        <c:varyColors val="1"/>
        <c:ser>
          <c:idx val="0"/>
          <c:order val="0"/>
          <c:tx>
            <c:strRef>
              <c:f>Graphs!$B$20</c:f>
              <c:strCache>
                <c:ptCount val="1"/>
                <c:pt idx="0">
                  <c:v>AMOUNT</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020D-4918-BBD4-5629CCBC0C15}"/>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020D-4918-BBD4-5629CCBC0C15}"/>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020D-4918-BBD4-5629CCBC0C15}"/>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020D-4918-BBD4-5629CCBC0C15}"/>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020D-4918-BBD4-5629CCBC0C1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CatName val="1"/>
            <c:showPercent val="1"/>
            <c:extLst xmlns:c16r2="http://schemas.microsoft.com/office/drawing/2015/06/chart">
              <c:ext xmlns:c15="http://schemas.microsoft.com/office/drawing/2012/chart" uri="{CE6537A1-D6FC-4f65-9D91-7224C49458BB}">
                <c15:spPr xmlns:c15="http://schemas.microsoft.com/office/drawing/2012/chart">
                  <a:prstGeom prst="wedgeRectCallout">
                    <a:avLst/>
                  </a:prstGeom>
                </c15:spPr>
              </c:ext>
            </c:extLst>
          </c:dLbls>
          <c:cat>
            <c:strRef>
              <c:f>Graphs!$A$21:$A$25</c:f>
              <c:strCache>
                <c:ptCount val="5"/>
                <c:pt idx="0">
                  <c:v>A. CHURCH MINISTRIES</c:v>
                </c:pt>
                <c:pt idx="1">
                  <c:v>B. CHURCH STAFF</c:v>
                </c:pt>
                <c:pt idx="2">
                  <c:v>C. OPERATION COSTS</c:v>
                </c:pt>
                <c:pt idx="3">
                  <c:v>D. NEW AUDITORIUM &amp; OTHER PROJECTS</c:v>
                </c:pt>
                <c:pt idx="4">
                  <c:v>E. COOPERATIVE FUNDS</c:v>
                </c:pt>
              </c:strCache>
            </c:strRef>
          </c:cat>
          <c:val>
            <c:numRef>
              <c:f>Graphs!$B$21:$B$25</c:f>
              <c:numCache>
                <c:formatCode>_(* #,##0.00_);_(* \(#,##0.00\);_(* "-"??_);_(@_)</c:formatCode>
                <c:ptCount val="5"/>
                <c:pt idx="0">
                  <c:v>0</c:v>
                </c:pt>
                <c:pt idx="1">
                  <c:v>0</c:v>
                </c:pt>
                <c:pt idx="2">
                  <c:v>94000</c:v>
                </c:pt>
                <c:pt idx="3">
                  <c:v>99900</c:v>
                </c:pt>
                <c:pt idx="4">
                  <c:v>40000</c:v>
                </c:pt>
              </c:numCache>
            </c:numRef>
          </c:val>
          <c:extLst xmlns:c16r2="http://schemas.microsoft.com/office/drawing/2015/06/chart">
            <c:ext xmlns:c16="http://schemas.microsoft.com/office/drawing/2014/chart" uri="{C3380CC4-5D6E-409C-BE32-E72D297353CC}">
              <c16:uniqueId val="{00000000-FC6A-441F-A76B-BEBB27A75101}"/>
            </c:ext>
          </c:extLst>
        </c:ser>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11914</xdr:colOff>
      <xdr:row>165</xdr:row>
      <xdr:rowOff>182165</xdr:rowOff>
    </xdr:from>
    <xdr:to>
      <xdr:col>12</xdr:col>
      <xdr:colOff>476250</xdr:colOff>
      <xdr:row>190</xdr:row>
      <xdr:rowOff>142875</xdr:rowOff>
    </xdr:to>
    <xdr:graphicFrame macro="">
      <xdr:nvGraphicFramePr>
        <xdr:cNvPr id="3" name="Chart 2">
          <a:extLst>
            <a:ext uri="{FF2B5EF4-FFF2-40B4-BE49-F238E27FC236}">
              <a16:creationId xmlns:a16="http://schemas.microsoft.com/office/drawing/2014/main" xmlns="" id="{F4326BC1-C5D2-4A4E-AEEA-BD72241C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228600</xdr:colOff>
      <xdr:row>4</xdr:row>
      <xdr:rowOff>14287</xdr:rowOff>
    </xdr:from>
    <xdr:to>
      <xdr:col>11</xdr:col>
      <xdr:colOff>257175</xdr:colOff>
      <xdr:row>18</xdr:row>
      <xdr:rowOff>90487</xdr:rowOff>
    </xdr:to>
    <xdr:graphicFrame macro="">
      <xdr:nvGraphicFramePr>
        <xdr:cNvPr id="2" name="Chart 1">
          <a:extLst>
            <a:ext uri="{FF2B5EF4-FFF2-40B4-BE49-F238E27FC236}">
              <a16:creationId xmlns:a16="http://schemas.microsoft.com/office/drawing/2014/main" xmlns="" id="{8E2DE654-78DF-42D3-BC7E-C6B4E1AFF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571499</xdr:colOff>
      <xdr:row>18</xdr:row>
      <xdr:rowOff>166686</xdr:rowOff>
    </xdr:from>
    <xdr:to>
      <xdr:col>12</xdr:col>
      <xdr:colOff>371475</xdr:colOff>
      <xdr:row>37</xdr:row>
      <xdr:rowOff>0</xdr:rowOff>
    </xdr:to>
    <xdr:graphicFrame macro="">
      <xdr:nvGraphicFramePr>
        <xdr:cNvPr id="3" name="Chart 2">
          <a:extLst>
            <a:ext uri="{FF2B5EF4-FFF2-40B4-BE49-F238E27FC236}">
              <a16:creationId xmlns:a16="http://schemas.microsoft.com/office/drawing/2014/main" xmlns="" id="{EA0F9C7E-ED15-4EA7-9411-541D0A060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mailto:150Bamboo@350=52,50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C21"/>
  <sheetViews>
    <sheetView workbookViewId="0">
      <selection activeCell="A15" sqref="A15"/>
    </sheetView>
  </sheetViews>
  <sheetFormatPr defaultRowHeight="15"/>
  <cols>
    <col min="1" max="1" width="11.5703125" bestFit="1" customWidth="1"/>
    <col min="2" max="2" width="17" customWidth="1"/>
    <col min="3" max="3" width="17.28515625" customWidth="1"/>
  </cols>
  <sheetData>
    <row r="1" spans="1:3">
      <c r="A1" s="3">
        <f>13000+29890</f>
        <v>42890</v>
      </c>
      <c r="B1" s="3">
        <f>2000+11400+40000+2000+4500</f>
        <v>59900</v>
      </c>
      <c r="C1" s="3"/>
    </row>
    <row r="2" spans="1:3">
      <c r="A2" s="3">
        <f>60650+27105+5580</f>
        <v>93335</v>
      </c>
      <c r="B2" s="3">
        <f>28050+5000</f>
        <v>33050</v>
      </c>
      <c r="C2" s="3"/>
    </row>
    <row r="3" spans="1:3">
      <c r="A3" s="3">
        <f>46300+23090+4740</f>
        <v>74130</v>
      </c>
      <c r="B3" s="3">
        <f>1500+5000+5000+8000+2000+2500+3500+10000+6200</f>
        <v>43700</v>
      </c>
      <c r="C3" s="3"/>
    </row>
    <row r="4" spans="1:3">
      <c r="A4" s="3">
        <f>6850+21365+4470+1070</f>
        <v>33755</v>
      </c>
      <c r="B4" s="3">
        <v>67594.53</v>
      </c>
      <c r="C4" s="3"/>
    </row>
    <row r="5" spans="1:3">
      <c r="A5" s="3">
        <f>15350+19835+4330</f>
        <v>39515</v>
      </c>
      <c r="B5" s="3">
        <v>23224.81</v>
      </c>
      <c r="C5" s="3"/>
    </row>
    <row r="6" spans="1:3">
      <c r="A6" s="3">
        <f>103150+20660+3200+4350+60</f>
        <v>131420</v>
      </c>
      <c r="B6" s="3">
        <f>6500+3500+27400+15000+7000+7000+20000</f>
        <v>86400</v>
      </c>
      <c r="C6" s="3"/>
    </row>
    <row r="7" spans="1:3">
      <c r="A7" s="3">
        <f>SUM(A1:A6)</f>
        <v>415045</v>
      </c>
      <c r="B7" s="3"/>
      <c r="C7" s="3"/>
    </row>
    <row r="8" spans="1:3">
      <c r="A8" s="3">
        <f>5850+2850+4400+4070</f>
        <v>17170</v>
      </c>
      <c r="B8" s="3"/>
      <c r="C8" s="3">
        <f>2000+11400+40000+2000+4500</f>
        <v>59900</v>
      </c>
    </row>
    <row r="9" spans="1:3">
      <c r="A9" s="3">
        <v>32.06</v>
      </c>
      <c r="B9" s="3"/>
      <c r="C9" s="3">
        <f>28050+5000</f>
        <v>33050</v>
      </c>
    </row>
    <row r="10" spans="1:3">
      <c r="A10" s="3">
        <f>SUM(A7:A9)</f>
        <v>432247.06</v>
      </c>
      <c r="B10" s="3"/>
      <c r="C10" s="3">
        <f>1500+5000+5000+8000+2000+2500+3500+10000+6200</f>
        <v>43700</v>
      </c>
    </row>
    <row r="11" spans="1:3">
      <c r="A11" s="3">
        <v>596987.06000000006</v>
      </c>
      <c r="B11" s="3"/>
      <c r="C11" s="3">
        <v>67594.53</v>
      </c>
    </row>
    <row r="12" spans="1:3">
      <c r="A12" s="3">
        <f>A11-A10</f>
        <v>164740.00000000006</v>
      </c>
      <c r="B12" s="3"/>
      <c r="C12" s="3">
        <v>23224.81</v>
      </c>
    </row>
    <row r="13" spans="1:3">
      <c r="A13" s="3">
        <f>10000+6000+4500+7000+3000+2300+2000+7000+6070+8500+14000+2000+30000+25000+12500</f>
        <v>139870</v>
      </c>
      <c r="B13" s="3"/>
      <c r="C13" s="3">
        <f>6500+3500+27400+15000+7000+7000+20000</f>
        <v>86400</v>
      </c>
    </row>
    <row r="14" spans="1:3">
      <c r="A14" s="3">
        <f>A12-A13</f>
        <v>24870.000000000058</v>
      </c>
      <c r="B14" s="3"/>
      <c r="C14" s="3">
        <v>300000</v>
      </c>
    </row>
    <row r="15" spans="1:3">
      <c r="A15" s="3"/>
      <c r="B15" s="3"/>
      <c r="C15" s="3">
        <v>31800</v>
      </c>
    </row>
    <row r="16" spans="1:3">
      <c r="A16" s="3"/>
      <c r="B16" s="3"/>
      <c r="C16" s="3">
        <f>50+50+60+4.5+100+50+50+132+100+976.11+73.21+100+50+75+3.21</f>
        <v>1874.0300000000002</v>
      </c>
    </row>
    <row r="17" spans="1:3">
      <c r="A17" s="3"/>
      <c r="B17" s="3"/>
      <c r="C17" s="3"/>
    </row>
    <row r="18" spans="1:3">
      <c r="A18" s="3"/>
      <c r="B18" s="3"/>
      <c r="C18" s="3"/>
    </row>
    <row r="19" spans="1:3">
      <c r="A19" s="3"/>
      <c r="B19" s="3"/>
      <c r="C19" s="3"/>
    </row>
    <row r="20" spans="1:3">
      <c r="A20" s="3"/>
      <c r="B20" s="3"/>
      <c r="C20" s="3"/>
    </row>
    <row r="21" spans="1:3">
      <c r="B21">
        <f>5850-5690</f>
        <v>160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Q115"/>
  <sheetViews>
    <sheetView view="pageBreakPreview" zoomScale="90" zoomScaleSheetLayoutView="90" workbookViewId="0">
      <pane xSplit="2" ySplit="5" topLeftCell="C94" activePane="bottomRight" state="frozen"/>
      <selection pane="topRight" activeCell="C1" sqref="C1"/>
      <selection pane="bottomLeft" activeCell="A6" sqref="A6"/>
      <selection pane="bottomRight" activeCell="E86" sqref="E86"/>
    </sheetView>
  </sheetViews>
  <sheetFormatPr defaultRowHeight="17.25"/>
  <cols>
    <col min="1" max="1" width="6.140625" customWidth="1"/>
    <col min="2" max="2" width="41.85546875" style="12" customWidth="1"/>
    <col min="3" max="3" width="18.28515625" customWidth="1"/>
    <col min="4" max="4" width="18.42578125" customWidth="1"/>
    <col min="5" max="5" width="15.42578125" style="12" customWidth="1"/>
    <col min="6" max="6" width="24" customWidth="1"/>
    <col min="7" max="7" width="17.7109375" customWidth="1"/>
  </cols>
  <sheetData>
    <row r="1" spans="1:7" ht="18" thickTop="1">
      <c r="A1" s="735" t="s">
        <v>30</v>
      </c>
      <c r="B1" s="736"/>
      <c r="C1" s="736"/>
      <c r="D1" s="736"/>
      <c r="E1" s="737"/>
    </row>
    <row r="2" spans="1:7">
      <c r="A2" s="738" t="s">
        <v>210</v>
      </c>
      <c r="B2" s="739"/>
      <c r="C2" s="739"/>
      <c r="D2" s="739"/>
      <c r="E2" s="740"/>
    </row>
    <row r="3" spans="1:7">
      <c r="A3" s="738" t="s">
        <v>231</v>
      </c>
      <c r="B3" s="739"/>
      <c r="C3" s="739"/>
      <c r="D3" s="739"/>
      <c r="E3" s="740"/>
    </row>
    <row r="4" spans="1:7">
      <c r="A4" s="18"/>
      <c r="B4" s="701"/>
      <c r="C4" s="3"/>
      <c r="D4" s="417"/>
      <c r="E4" s="704"/>
    </row>
    <row r="5" spans="1:7" ht="44.25" customHeight="1">
      <c r="A5" s="19" t="s">
        <v>43</v>
      </c>
      <c r="B5" s="106"/>
      <c r="C5" s="106" t="s">
        <v>232</v>
      </c>
      <c r="D5" s="127" t="s">
        <v>41</v>
      </c>
      <c r="E5" s="705" t="s">
        <v>68</v>
      </c>
      <c r="F5" s="62" t="s">
        <v>69</v>
      </c>
    </row>
    <row r="6" spans="1:7">
      <c r="A6" s="19"/>
      <c r="B6" s="67" t="str">
        <f>Details!B6</f>
        <v>Bank interest</v>
      </c>
      <c r="C6" s="68">
        <f>Details!G6</f>
        <v>105.94</v>
      </c>
      <c r="D6" s="128">
        <f>C6+Mar!D6</f>
        <v>291.10000000000002</v>
      </c>
      <c r="E6" s="706">
        <f>D6/F6</f>
        <v>0.48516666666666669</v>
      </c>
      <c r="F6" s="46">
        <f>Details!W6</f>
        <v>600</v>
      </c>
      <c r="G6" s="3">
        <v>1175604</v>
      </c>
    </row>
    <row r="7" spans="1:7">
      <c r="A7" s="19"/>
      <c r="B7" s="67" t="str">
        <f>Details!B7</f>
        <v>Benevolence</v>
      </c>
      <c r="C7" s="68">
        <f>Details!G7</f>
        <v>19540</v>
      </c>
      <c r="D7" s="128">
        <f>C7+Mar!D7</f>
        <v>81655</v>
      </c>
      <c r="E7" s="706">
        <f t="shared" ref="E7:E70" si="0">D7/F7</f>
        <v>0.54436666666666667</v>
      </c>
      <c r="F7" s="46">
        <f>Details!W7</f>
        <v>150000</v>
      </c>
      <c r="G7" s="3">
        <v>166620</v>
      </c>
    </row>
    <row r="8" spans="1:7">
      <c r="A8" s="19"/>
      <c r="B8" s="67" t="str">
        <f>Details!B8</f>
        <v>Building (cash and kind)</v>
      </c>
      <c r="C8" s="68">
        <f>Details!G8</f>
        <v>510000</v>
      </c>
      <c r="D8" s="128">
        <f>C8+Mar!D8</f>
        <v>552800</v>
      </c>
      <c r="E8" s="706">
        <f t="shared" si="0"/>
        <v>0.27639999999999998</v>
      </c>
      <c r="F8" s="46">
        <f>Details!W8</f>
        <v>2000000</v>
      </c>
      <c r="G8" s="3">
        <v>62355</v>
      </c>
    </row>
    <row r="9" spans="1:7">
      <c r="A9" s="19"/>
      <c r="B9" s="67" t="str">
        <f>Details!B9</f>
        <v>Designated offering towards borehole</v>
      </c>
      <c r="C9" s="68">
        <f>Details!G9</f>
        <v>0</v>
      </c>
      <c r="D9" s="128">
        <f>C9+Mar!D9</f>
        <v>418000</v>
      </c>
      <c r="E9" s="706">
        <f t="shared" si="0"/>
        <v>4.18</v>
      </c>
      <c r="F9" s="46">
        <f>Details!W9</f>
        <v>100000</v>
      </c>
      <c r="G9" s="3">
        <v>31165</v>
      </c>
    </row>
    <row r="10" spans="1:7">
      <c r="A10" s="19"/>
      <c r="B10" s="67" t="str">
        <f>Details!B10</f>
        <v>Designated offering towards Praise Festival</v>
      </c>
      <c r="C10" s="68">
        <f>Details!G10</f>
        <v>0</v>
      </c>
      <c r="D10" s="128">
        <f>C10+Mar!D10</f>
        <v>0</v>
      </c>
      <c r="E10" s="706"/>
      <c r="F10" s="46">
        <f>Details!W10</f>
        <v>0</v>
      </c>
      <c r="G10" s="3">
        <v>204566</v>
      </c>
    </row>
    <row r="11" spans="1:7">
      <c r="A11" s="19"/>
      <c r="B11" s="67" t="str">
        <f>Details!B11</f>
        <v>Foreign Mission offering</v>
      </c>
      <c r="C11" s="68">
        <f>Details!G11</f>
        <v>0</v>
      </c>
      <c r="D11" s="128">
        <f>C11+Mar!D11</f>
        <v>0</v>
      </c>
      <c r="E11" s="706"/>
      <c r="F11" s="46">
        <f>Details!W11</f>
        <v>0</v>
      </c>
      <c r="G11" s="3">
        <v>21110</v>
      </c>
    </row>
    <row r="12" spans="1:7">
      <c r="A12" s="19"/>
      <c r="B12" s="67" t="str">
        <f>Details!B12</f>
        <v>Home Mission offering</v>
      </c>
      <c r="C12" s="68">
        <f>Details!G12</f>
        <v>0</v>
      </c>
      <c r="D12" s="128">
        <f>C12+Mar!D12</f>
        <v>100000</v>
      </c>
      <c r="E12" s="706">
        <f t="shared" si="0"/>
        <v>0.33333333333333331</v>
      </c>
      <c r="F12" s="46">
        <f>Details!W12</f>
        <v>300000</v>
      </c>
      <c r="G12" s="3">
        <v>86.94</v>
      </c>
    </row>
    <row r="13" spans="1:7">
      <c r="A13" s="19"/>
      <c r="B13" s="67" t="str">
        <f>Details!B13</f>
        <v>Designated - Church signpost</v>
      </c>
      <c r="C13" s="68">
        <f>Details!G13</f>
        <v>0</v>
      </c>
      <c r="D13" s="128">
        <f>C13+Mar!D13</f>
        <v>0</v>
      </c>
      <c r="E13" s="706"/>
      <c r="F13" s="46">
        <f>Details!W13</f>
        <v>0</v>
      </c>
      <c r="G13" s="3">
        <v>500</v>
      </c>
    </row>
    <row r="14" spans="1:7">
      <c r="A14" s="19"/>
      <c r="B14" s="67" t="str">
        <f>Details!B14</f>
        <v>Designated - Teenagers' Church</v>
      </c>
      <c r="C14" s="68">
        <f>Details!G14</f>
        <v>0</v>
      </c>
      <c r="D14" s="128">
        <f>C14+Mar!D14</f>
        <v>0</v>
      </c>
      <c r="E14" s="706">
        <f t="shared" si="0"/>
        <v>0</v>
      </c>
      <c r="F14" s="46">
        <f>Details!W14</f>
        <v>50000</v>
      </c>
      <c r="G14" s="3">
        <v>234907.01</v>
      </c>
    </row>
    <row r="15" spans="1:7">
      <c r="A15" s="19"/>
      <c r="B15" s="67" t="str">
        <f>Details!B15</f>
        <v>Offering</v>
      </c>
      <c r="C15" s="68">
        <f>Details!G15</f>
        <v>90290</v>
      </c>
      <c r="D15" s="128">
        <f>C15+Mar!D15</f>
        <v>359625</v>
      </c>
      <c r="E15" s="706">
        <f t="shared" si="0"/>
        <v>0.35962499999999997</v>
      </c>
      <c r="F15" s="46">
        <f>Details!W15</f>
        <v>1000000</v>
      </c>
      <c r="G15" s="3">
        <v>17232.09</v>
      </c>
    </row>
    <row r="16" spans="1:7">
      <c r="A16" s="19"/>
      <c r="B16" s="67" t="str">
        <f>Details!B16</f>
        <v xml:space="preserve">Sunday School </v>
      </c>
      <c r="C16" s="68">
        <f>Details!G16</f>
        <v>19015</v>
      </c>
      <c r="D16" s="128">
        <f>C16+Mar!D16</f>
        <v>79380</v>
      </c>
      <c r="E16" s="706">
        <f t="shared" si="0"/>
        <v>0.46694117647058825</v>
      </c>
      <c r="F16" s="46">
        <f>Details!W16</f>
        <v>170000</v>
      </c>
      <c r="G16" s="3">
        <v>245709</v>
      </c>
    </row>
    <row r="17" spans="1:7">
      <c r="A17" s="19"/>
      <c r="B17" s="67" t="str">
        <f>Details!B17</f>
        <v>Thanksgiving</v>
      </c>
      <c r="C17" s="68">
        <f>Details!G17</f>
        <v>23060</v>
      </c>
      <c r="D17" s="128">
        <f>C17+Mar!D17</f>
        <v>148690</v>
      </c>
      <c r="E17" s="706">
        <f t="shared" si="0"/>
        <v>0.37172500000000003</v>
      </c>
      <c r="F17" s="46">
        <f>Details!W17</f>
        <v>400000</v>
      </c>
      <c r="G17" s="3">
        <v>23250</v>
      </c>
    </row>
    <row r="18" spans="1:7" s="9" customFormat="1">
      <c r="A18" s="19"/>
      <c r="B18" s="67" t="str">
        <f>Details!B18</f>
        <v>Tithes</v>
      </c>
      <c r="C18" s="68">
        <f>Details!G18</f>
        <v>572722</v>
      </c>
      <c r="D18" s="128">
        <f>C18+Mar!D18</f>
        <v>2473889</v>
      </c>
      <c r="E18" s="706">
        <f t="shared" si="0"/>
        <v>0.38059830769230768</v>
      </c>
      <c r="F18" s="46">
        <f>Details!W18</f>
        <v>6500000</v>
      </c>
    </row>
    <row r="19" spans="1:7" s="9" customFormat="1">
      <c r="A19" s="158"/>
      <c r="B19" s="72" t="str">
        <f>Details!B19</f>
        <v>Total income this reporting period</v>
      </c>
      <c r="C19" s="101">
        <f>Details!G19</f>
        <v>1234732.94</v>
      </c>
      <c r="D19" s="129">
        <f>C19+Mar!D19</f>
        <v>4214330.0999999996</v>
      </c>
      <c r="E19" s="707">
        <f t="shared" si="0"/>
        <v>0.39494780987011036</v>
      </c>
      <c r="F19" s="46">
        <f>Details!W19</f>
        <v>10670600</v>
      </c>
    </row>
    <row r="20" spans="1:7" ht="34.5">
      <c r="A20" s="19"/>
      <c r="B20" s="71" t="str">
        <f>Details!B20</f>
        <v>B/F from previous month/quarter: First Bank of Nigeria</v>
      </c>
      <c r="C20" s="96">
        <f>Details!G20</f>
        <v>105249.60999999999</v>
      </c>
      <c r="D20" s="131">
        <f>Details!C20</f>
        <v>286762.07</v>
      </c>
      <c r="E20" s="708"/>
      <c r="F20" s="46">
        <f>Details!W20</f>
        <v>286762.07</v>
      </c>
      <c r="G20" s="3">
        <v>521098.1</v>
      </c>
    </row>
    <row r="21" spans="1:7">
      <c r="A21" s="19"/>
      <c r="B21" s="67" t="str">
        <f>Details!B21</f>
        <v xml:space="preserve">                               Randalapha MFB</v>
      </c>
      <c r="C21" s="68">
        <f>Details!G21</f>
        <v>58905.95</v>
      </c>
      <c r="D21" s="128">
        <f>Details!C21</f>
        <v>16787.310000000001</v>
      </c>
      <c r="E21" s="706"/>
      <c r="F21" s="46">
        <f>Details!W21</f>
        <v>16787.310000000001</v>
      </c>
      <c r="G21" s="3">
        <v>2183105.04</v>
      </c>
    </row>
    <row r="22" spans="1:7">
      <c r="A22" s="19"/>
      <c r="B22" s="67" t="str">
        <f>Details!B22</f>
        <v xml:space="preserve">                               Access Bank (Building fund)</v>
      </c>
      <c r="C22" s="68">
        <f>Details!G22</f>
        <v>185568.19</v>
      </c>
      <c r="D22" s="128">
        <f>Details!C22</f>
        <v>1513424.07</v>
      </c>
      <c r="E22" s="706"/>
      <c r="F22" s="46">
        <f>Details!W22</f>
        <v>1513424.07</v>
      </c>
      <c r="G22" s="3"/>
    </row>
    <row r="23" spans="1:7">
      <c r="A23" s="19"/>
      <c r="B23" s="67" t="str">
        <f>Details!B23</f>
        <v xml:space="preserve">                               Imprest Account (Cash on hand)</v>
      </c>
      <c r="C23" s="68">
        <f>Details!G23</f>
        <v>1000</v>
      </c>
      <c r="D23" s="128">
        <f>Details!C23</f>
        <v>3000</v>
      </c>
      <c r="E23" s="706"/>
      <c r="F23" s="46">
        <f>Details!W23</f>
        <v>3000</v>
      </c>
      <c r="G23" s="3">
        <v>163965</v>
      </c>
    </row>
    <row r="24" spans="1:7" s="9" customFormat="1">
      <c r="A24" s="19"/>
      <c r="B24" s="69" t="str">
        <f>Details!B24</f>
        <v>Total B/F from 2020 or last month or quarter</v>
      </c>
      <c r="C24" s="101">
        <f>Details!G24</f>
        <v>350723.75</v>
      </c>
      <c r="D24" s="129">
        <f>Details!C24</f>
        <v>1819973.4500000002</v>
      </c>
      <c r="E24" s="707"/>
      <c r="F24" s="46">
        <f>Details!W24</f>
        <v>1819973.4500000002</v>
      </c>
      <c r="G24" s="188">
        <v>16320</v>
      </c>
    </row>
    <row r="25" spans="1:7">
      <c r="A25" s="19"/>
      <c r="B25" s="69" t="str">
        <f>Details!B25</f>
        <v>Total Income/Available cash</v>
      </c>
      <c r="C25" s="101">
        <f>Details!G25</f>
        <v>1585456.6899999997</v>
      </c>
      <c r="D25" s="129">
        <f>D19+D24</f>
        <v>6034303.5499999998</v>
      </c>
      <c r="E25" s="707">
        <f t="shared" si="0"/>
        <v>0.48310860779574533</v>
      </c>
      <c r="F25" s="46">
        <f>Details!W25</f>
        <v>12490573.450000001</v>
      </c>
      <c r="G25" s="3">
        <v>65550</v>
      </c>
    </row>
    <row r="26" spans="1:7" s="9" customFormat="1">
      <c r="A26" s="19"/>
      <c r="B26" s="69" t="str">
        <f>Details!B26</f>
        <v>EXPENDITURE</v>
      </c>
      <c r="C26" s="68"/>
      <c r="D26" s="128"/>
      <c r="E26" s="706"/>
      <c r="F26" s="46">
        <f>Details!W26</f>
        <v>0</v>
      </c>
      <c r="G26" s="188">
        <v>0</v>
      </c>
    </row>
    <row r="27" spans="1:7">
      <c r="A27" s="19"/>
      <c r="B27" s="69" t="str">
        <f>Details!B27</f>
        <v>A. CHURCH MINISTRIES</v>
      </c>
      <c r="C27" s="101">
        <f>Details!G27</f>
        <v>158880</v>
      </c>
      <c r="D27" s="129">
        <f>C27+Mar!D27</f>
        <v>771510</v>
      </c>
      <c r="E27" s="707">
        <f t="shared" si="0"/>
        <v>0.25609440350527785</v>
      </c>
      <c r="F27" s="46">
        <f>Details!W27</f>
        <v>3012600</v>
      </c>
      <c r="G27" s="3">
        <v>4700</v>
      </c>
    </row>
    <row r="28" spans="1:7">
      <c r="A28" s="19"/>
      <c r="B28" s="67" t="str">
        <f>Details!B28</f>
        <v>Benevolence</v>
      </c>
      <c r="C28" s="68">
        <f>Details!G28</f>
        <v>0</v>
      </c>
      <c r="D28" s="128">
        <f>C28+Mar!D28</f>
        <v>104940</v>
      </c>
      <c r="E28" s="706">
        <f t="shared" si="0"/>
        <v>0.29394957983193276</v>
      </c>
      <c r="F28" s="46">
        <f>Details!W28</f>
        <v>357000</v>
      </c>
      <c r="G28" s="3">
        <v>0</v>
      </c>
    </row>
    <row r="29" spans="1:7">
      <c r="A29" s="19"/>
      <c r="B29" s="67" t="str">
        <f>Details!B29</f>
        <v>Childrens' Department</v>
      </c>
      <c r="C29" s="68">
        <f>Details!G29</f>
        <v>4240</v>
      </c>
      <c r="D29" s="128">
        <f>C29+Mar!D29</f>
        <v>68680</v>
      </c>
      <c r="E29" s="706">
        <f t="shared" si="0"/>
        <v>0.26015151515151513</v>
      </c>
      <c r="F29" s="46">
        <f>Details!W29</f>
        <v>264000</v>
      </c>
      <c r="G29" s="3">
        <v>0</v>
      </c>
    </row>
    <row r="30" spans="1:7">
      <c r="A30" s="19"/>
      <c r="B30" s="67" t="str">
        <f>Details!B30</f>
        <v>Church decorations</v>
      </c>
      <c r="C30" s="68">
        <f>Details!G30</f>
        <v>0</v>
      </c>
      <c r="D30" s="128">
        <f>C30+Mar!D30</f>
        <v>0</v>
      </c>
      <c r="E30" s="706">
        <f t="shared" si="0"/>
        <v>0</v>
      </c>
      <c r="F30" s="46">
        <f>Details!W30</f>
        <v>25000</v>
      </c>
      <c r="G30" s="3">
        <v>21545</v>
      </c>
    </row>
    <row r="31" spans="1:7">
      <c r="A31" s="19"/>
      <c r="B31" s="67" t="str">
        <f>Details!B31</f>
        <v>Church Maintenance</v>
      </c>
      <c r="C31" s="68">
        <f>Details!G31</f>
        <v>0</v>
      </c>
      <c r="D31" s="128">
        <f>C31+Mar!D31</f>
        <v>0</v>
      </c>
      <c r="E31" s="706">
        <f t="shared" si="0"/>
        <v>0</v>
      </c>
      <c r="F31" s="46">
        <f>Details!W31</f>
        <v>20000</v>
      </c>
      <c r="G31" s="3">
        <v>4500</v>
      </c>
    </row>
    <row r="32" spans="1:7">
      <c r="A32" s="19"/>
      <c r="B32" s="67" t="str">
        <f>Details!B32</f>
        <v>Diaconate</v>
      </c>
      <c r="C32" s="68">
        <f>Details!G32</f>
        <v>0</v>
      </c>
      <c r="D32" s="128">
        <f>C32+Mar!D32</f>
        <v>0</v>
      </c>
      <c r="E32" s="706">
        <f t="shared" si="0"/>
        <v>0</v>
      </c>
      <c r="F32" s="46">
        <f>Details!W32</f>
        <v>20000</v>
      </c>
      <c r="G32" s="3">
        <v>6000</v>
      </c>
    </row>
    <row r="33" spans="1:7">
      <c r="A33" s="19"/>
      <c r="B33" s="67" t="str">
        <f>Details!B33</f>
        <v>Discipleship Department</v>
      </c>
      <c r="C33" s="68">
        <f>Details!G33</f>
        <v>0</v>
      </c>
      <c r="D33" s="128">
        <f>C33+Mar!D33</f>
        <v>0</v>
      </c>
      <c r="E33" s="706">
        <f t="shared" si="0"/>
        <v>0</v>
      </c>
      <c r="F33" s="46">
        <f>Details!W33</f>
        <v>15000</v>
      </c>
      <c r="G33" s="3">
        <v>0</v>
      </c>
    </row>
    <row r="34" spans="1:7">
      <c r="A34" s="19"/>
      <c r="B34" s="67" t="str">
        <f>Details!B34</f>
        <v>Drama Committee</v>
      </c>
      <c r="C34" s="68">
        <f>Details!G34</f>
        <v>0</v>
      </c>
      <c r="D34" s="128">
        <f>C34+Mar!D34</f>
        <v>0</v>
      </c>
      <c r="E34" s="706">
        <f t="shared" si="0"/>
        <v>0</v>
      </c>
      <c r="F34" s="46">
        <f>Details!W34</f>
        <v>35000</v>
      </c>
      <c r="G34" s="3">
        <v>6750</v>
      </c>
    </row>
    <row r="35" spans="1:7">
      <c r="A35" s="19"/>
      <c r="B35" s="67" t="str">
        <f>Details!B35</f>
        <v>End of year outreach - Heaven's Link Praise Festival</v>
      </c>
      <c r="C35" s="68">
        <f>Details!G35</f>
        <v>0</v>
      </c>
      <c r="D35" s="128">
        <f>C35+Mar!D35</f>
        <v>0</v>
      </c>
      <c r="E35" s="706">
        <f t="shared" si="0"/>
        <v>0</v>
      </c>
      <c r="F35" s="46">
        <f>Details!W35</f>
        <v>130000</v>
      </c>
      <c r="G35" s="3">
        <v>11600</v>
      </c>
    </row>
    <row r="36" spans="1:7">
      <c r="A36" s="19"/>
      <c r="B36" s="67" t="str">
        <f>Details!B36</f>
        <v>Evangelism Committee</v>
      </c>
      <c r="C36" s="68">
        <f>Details!G36</f>
        <v>100000</v>
      </c>
      <c r="D36" s="128">
        <f>C36+Mar!D36</f>
        <v>206400</v>
      </c>
      <c r="E36" s="706">
        <f t="shared" si="0"/>
        <v>0.4128</v>
      </c>
      <c r="F36" s="46">
        <f>Details!W36</f>
        <v>500000</v>
      </c>
      <c r="G36" s="3">
        <v>0</v>
      </c>
    </row>
    <row r="37" spans="1:7">
      <c r="A37" s="19"/>
      <c r="B37" s="67" t="str">
        <f>Details!B37</f>
        <v>Exemplary Youth Award</v>
      </c>
      <c r="C37" s="68">
        <f>Details!G37</f>
        <v>0</v>
      </c>
      <c r="D37" s="128">
        <f>C37+Mar!D37</f>
        <v>0</v>
      </c>
      <c r="E37" s="706">
        <f t="shared" si="0"/>
        <v>0</v>
      </c>
      <c r="F37" s="46">
        <f>Details!W37</f>
        <v>75000</v>
      </c>
      <c r="G37" s="3">
        <v>10000</v>
      </c>
    </row>
    <row r="38" spans="1:7">
      <c r="A38" s="19"/>
      <c r="B38" s="67" t="str">
        <f>Details!B38</f>
        <v>External Affairs</v>
      </c>
      <c r="C38" s="68">
        <f>Details!G38</f>
        <v>6000</v>
      </c>
      <c r="D38" s="128">
        <f>C38+Mar!D38</f>
        <v>30000</v>
      </c>
      <c r="E38" s="706">
        <f t="shared" si="0"/>
        <v>0.78947368421052633</v>
      </c>
      <c r="F38" s="46">
        <f>Details!W38</f>
        <v>38000</v>
      </c>
      <c r="G38" s="3">
        <v>15000</v>
      </c>
    </row>
    <row r="39" spans="1:7">
      <c r="A39" s="19"/>
      <c r="B39" s="67" t="str">
        <f>Details!B39</f>
        <v>Health Committee</v>
      </c>
      <c r="C39" s="68">
        <f>Details!G39</f>
        <v>0</v>
      </c>
      <c r="D39" s="128">
        <f>C39+Mar!D39</f>
        <v>3200</v>
      </c>
      <c r="E39" s="706">
        <f t="shared" si="0"/>
        <v>9.2753623188405798E-2</v>
      </c>
      <c r="F39" s="46">
        <f>Details!W39</f>
        <v>34500</v>
      </c>
      <c r="G39" s="3">
        <v>0</v>
      </c>
    </row>
    <row r="40" spans="1:7">
      <c r="A40" s="19"/>
      <c r="B40" s="67" t="str">
        <f>Details!B40</f>
        <v>Hospitality Committee</v>
      </c>
      <c r="C40" s="68">
        <f>Details!G40</f>
        <v>6140</v>
      </c>
      <c r="D40" s="128">
        <f>C40+Mar!D40</f>
        <v>12090</v>
      </c>
      <c r="E40" s="706">
        <f t="shared" si="0"/>
        <v>4.6004566210045665E-2</v>
      </c>
      <c r="F40" s="46">
        <f>Details!W40</f>
        <v>262800</v>
      </c>
      <c r="G40" s="3">
        <v>1500</v>
      </c>
    </row>
    <row r="41" spans="1:7">
      <c r="A41" s="19"/>
      <c r="B41" s="67" t="str">
        <f>Details!B41</f>
        <v>Media/Sound Unit</v>
      </c>
      <c r="C41" s="68">
        <f>Details!G41</f>
        <v>0</v>
      </c>
      <c r="D41" s="128">
        <f>C41+Mar!D41</f>
        <v>27400</v>
      </c>
      <c r="E41" s="706">
        <f t="shared" si="0"/>
        <v>0.18266666666666667</v>
      </c>
      <c r="F41" s="46">
        <f>Details!W41</f>
        <v>150000</v>
      </c>
      <c r="G41" s="3">
        <v>500</v>
      </c>
    </row>
    <row r="42" spans="1:7">
      <c r="A42" s="19"/>
      <c r="B42" s="67" t="str">
        <f>Details!B42</f>
        <v>MMU</v>
      </c>
      <c r="C42" s="68">
        <f>Details!G42</f>
        <v>0</v>
      </c>
      <c r="D42" s="128">
        <f>C42+Mar!D42</f>
        <v>0</v>
      </c>
      <c r="E42" s="706">
        <f t="shared" si="0"/>
        <v>0</v>
      </c>
      <c r="F42" s="46">
        <f>Details!W42</f>
        <v>50000</v>
      </c>
      <c r="G42" s="3">
        <v>0</v>
      </c>
    </row>
    <row r="43" spans="1:7">
      <c r="A43" s="19"/>
      <c r="B43" s="67" t="str">
        <f>Details!B43</f>
        <v>Music Department</v>
      </c>
      <c r="C43" s="68">
        <f>Details!G43</f>
        <v>28000</v>
      </c>
      <c r="D43" s="128">
        <f>C43+Mar!D43</f>
        <v>49000</v>
      </c>
      <c r="E43" s="706">
        <f t="shared" si="0"/>
        <v>0.17437722419928825</v>
      </c>
      <c r="F43" s="46">
        <f>Details!W43</f>
        <v>281000</v>
      </c>
      <c r="G43" s="3">
        <v>0</v>
      </c>
    </row>
    <row r="44" spans="1:7">
      <c r="A44" s="19"/>
      <c r="B44" s="67" t="str">
        <f>Details!B44</f>
        <v>Nominating</v>
      </c>
      <c r="C44" s="68">
        <f>Details!G44</f>
        <v>0</v>
      </c>
      <c r="D44" s="128">
        <f>C44+Mar!D44</f>
        <v>0</v>
      </c>
      <c r="E44" s="706"/>
      <c r="F44" s="46">
        <f>Details!W44</f>
        <v>0</v>
      </c>
    </row>
    <row r="45" spans="1:7">
      <c r="A45" s="19"/>
      <c r="B45" s="67" t="str">
        <f>Details!B45</f>
        <v>Property Committee</v>
      </c>
      <c r="C45" s="68">
        <f>Details!G45</f>
        <v>3000</v>
      </c>
      <c r="D45" s="128">
        <f>C45+Mar!D45</f>
        <v>3000</v>
      </c>
      <c r="E45" s="706">
        <f t="shared" si="0"/>
        <v>1.4999999999999999E-2</v>
      </c>
      <c r="F45" s="46">
        <f>Details!W45</f>
        <v>200000</v>
      </c>
      <c r="G45" s="3">
        <v>337402.69999999995</v>
      </c>
    </row>
    <row r="46" spans="1:7">
      <c r="A46" s="19"/>
      <c r="B46" s="67" t="str">
        <f>Details!B46</f>
        <v>Personnel</v>
      </c>
      <c r="C46" s="68">
        <f>Details!G46</f>
        <v>0</v>
      </c>
      <c r="D46" s="128">
        <f>C46+Mar!D46</f>
        <v>0</v>
      </c>
      <c r="E46" s="706"/>
      <c r="F46" s="46">
        <f>Details!W46</f>
        <v>0</v>
      </c>
      <c r="G46" s="3">
        <v>232402.69999999998</v>
      </c>
    </row>
    <row r="47" spans="1:7">
      <c r="A47" s="19"/>
      <c r="B47" s="67" t="str">
        <f>Details!B47</f>
        <v>Sanctuary supplies</v>
      </c>
      <c r="C47" s="68">
        <f>Details!G47</f>
        <v>4000</v>
      </c>
      <c r="D47" s="128">
        <f>C47+Mar!D47</f>
        <v>75500</v>
      </c>
      <c r="E47" s="706">
        <f t="shared" si="0"/>
        <v>0.25166666666666665</v>
      </c>
      <c r="F47" s="46">
        <f>Details!W47</f>
        <v>300000</v>
      </c>
      <c r="G47" s="3">
        <v>87000</v>
      </c>
    </row>
    <row r="48" spans="1:7">
      <c r="A48" s="19"/>
      <c r="B48" s="67" t="str">
        <f>Details!B48</f>
        <v>Stewardship</v>
      </c>
      <c r="C48" s="68">
        <f>Details!G48</f>
        <v>0</v>
      </c>
      <c r="D48" s="128">
        <f>C48+Mar!D48</f>
        <v>0</v>
      </c>
      <c r="E48" s="706">
        <f t="shared" si="0"/>
        <v>0</v>
      </c>
      <c r="F48" s="46">
        <f>Details!W48</f>
        <v>10000</v>
      </c>
      <c r="G48" s="3">
        <v>18000</v>
      </c>
    </row>
    <row r="49" spans="1:17">
      <c r="A49" s="19"/>
      <c r="B49" s="67" t="str">
        <f>Details!B49</f>
        <v xml:space="preserve">Sunday School </v>
      </c>
      <c r="C49" s="68">
        <f>Details!G49</f>
        <v>0</v>
      </c>
      <c r="D49" s="128">
        <f>C49+Mar!D49</f>
        <v>31400</v>
      </c>
      <c r="E49" s="706">
        <f t="shared" si="0"/>
        <v>0.8306878306878307</v>
      </c>
      <c r="F49" s="46">
        <f>Details!W49</f>
        <v>37800</v>
      </c>
      <c r="G49" s="3"/>
    </row>
    <row r="50" spans="1:17">
      <c r="A50" s="19"/>
      <c r="B50" s="67" t="str">
        <f>Details!B50</f>
        <v>Ushers Committee</v>
      </c>
      <c r="C50" s="68">
        <f>Details!G50</f>
        <v>0</v>
      </c>
      <c r="D50" s="128">
        <f>C50+Mar!D50</f>
        <v>2500</v>
      </c>
      <c r="E50" s="706">
        <f t="shared" si="0"/>
        <v>0.3125</v>
      </c>
      <c r="F50" s="46">
        <f>Details!W50</f>
        <v>8000</v>
      </c>
      <c r="G50" s="3">
        <v>271324.91000000003</v>
      </c>
    </row>
    <row r="51" spans="1:17">
      <c r="A51" s="19"/>
      <c r="B51" s="67" t="str">
        <f>Details!B51</f>
        <v>Visitation Committee</v>
      </c>
      <c r="C51" s="68">
        <f>Details!G51</f>
        <v>1500</v>
      </c>
      <c r="D51" s="128">
        <f>C51+Mar!D51</f>
        <v>6000</v>
      </c>
      <c r="E51" s="706">
        <f t="shared" si="0"/>
        <v>0.375</v>
      </c>
      <c r="F51" s="46">
        <f>Details!W51</f>
        <v>16000</v>
      </c>
      <c r="G51" s="3">
        <v>0</v>
      </c>
    </row>
    <row r="52" spans="1:17">
      <c r="A52" s="19"/>
      <c r="B52" s="67" t="str">
        <f>Details!B52</f>
        <v>WMU</v>
      </c>
      <c r="C52" s="68">
        <f>Details!G52</f>
        <v>6000</v>
      </c>
      <c r="D52" s="128">
        <f>C52+Mar!D52</f>
        <v>48000</v>
      </c>
      <c r="E52" s="706">
        <f t="shared" si="0"/>
        <v>0.59627329192546585</v>
      </c>
      <c r="F52" s="46">
        <f>Details!W52</f>
        <v>80500</v>
      </c>
      <c r="G52" s="3">
        <v>4634.91</v>
      </c>
    </row>
    <row r="53" spans="1:17">
      <c r="A53" s="19"/>
      <c r="B53" s="67" t="str">
        <f>Details!B53</f>
        <v>Youth Fellowship</v>
      </c>
      <c r="C53" s="68">
        <f>Details!G53</f>
        <v>0</v>
      </c>
      <c r="D53" s="128">
        <f>C53+Mar!D53</f>
        <v>69000</v>
      </c>
      <c r="E53" s="706">
        <f t="shared" si="0"/>
        <v>0.83132530120481929</v>
      </c>
      <c r="F53" s="46">
        <f>Details!W53</f>
        <v>83000</v>
      </c>
      <c r="G53" s="3">
        <v>0</v>
      </c>
    </row>
    <row r="54" spans="1:17">
      <c r="A54" s="19"/>
      <c r="B54" s="67" t="str">
        <f>Details!B54</f>
        <v>Teenagers</v>
      </c>
      <c r="C54" s="68">
        <f>Details!G54</f>
        <v>0</v>
      </c>
      <c r="D54" s="128">
        <f>C54+Mar!D54</f>
        <v>34400</v>
      </c>
      <c r="E54" s="706">
        <f t="shared" si="0"/>
        <v>1.72</v>
      </c>
      <c r="F54" s="46">
        <f>Details!W54</f>
        <v>20000</v>
      </c>
      <c r="G54" s="3">
        <v>3140</v>
      </c>
    </row>
    <row r="55" spans="1:17" s="9" customFormat="1">
      <c r="A55" s="158"/>
      <c r="B55" s="69" t="str">
        <f>Details!B55</f>
        <v>Suspense account</v>
      </c>
      <c r="C55" s="68">
        <f>Details!G55</f>
        <v>0</v>
      </c>
      <c r="D55" s="128">
        <f>C55+Mar!D55</f>
        <v>0</v>
      </c>
      <c r="E55" s="706"/>
      <c r="F55" s="46">
        <f>Details!W55</f>
        <v>0</v>
      </c>
      <c r="G55" s="188">
        <v>8300</v>
      </c>
    </row>
    <row r="56" spans="1:17">
      <c r="A56" s="19"/>
      <c r="B56" s="67">
        <f>Details!B56</f>
        <v>0</v>
      </c>
      <c r="C56" s="68">
        <f>Details!G56</f>
        <v>0</v>
      </c>
      <c r="D56" s="128">
        <f>C56+Mar!D56</f>
        <v>0</v>
      </c>
      <c r="E56" s="706"/>
      <c r="F56" s="46">
        <f>Details!W56</f>
        <v>0</v>
      </c>
      <c r="G56" s="3">
        <v>0</v>
      </c>
    </row>
    <row r="57" spans="1:17" s="9" customFormat="1">
      <c r="A57" s="158"/>
      <c r="B57" s="69" t="str">
        <f>Details!B57</f>
        <v>B. CHURCH STAFF</v>
      </c>
      <c r="C57" s="101">
        <f>Details!G57</f>
        <v>288766.63</v>
      </c>
      <c r="D57" s="129">
        <f>C57+Mar!D57</f>
        <v>908688.2699999999</v>
      </c>
      <c r="E57" s="707">
        <f t="shared" si="0"/>
        <v>0.31336105397714692</v>
      </c>
      <c r="F57" s="46">
        <f>Details!W57</f>
        <v>2899812.4</v>
      </c>
      <c r="G57" s="188">
        <v>27900</v>
      </c>
    </row>
    <row r="58" spans="1:17">
      <c r="A58" s="19"/>
      <c r="B58" s="67" t="str">
        <f>Details!B58</f>
        <v>Church Pastor (salaries and allowances)</v>
      </c>
      <c r="C58" s="68">
        <f>Details!G58</f>
        <v>138424.13</v>
      </c>
      <c r="D58" s="128">
        <f>C58+Mar!D58</f>
        <v>475644.51</v>
      </c>
      <c r="E58" s="706">
        <f t="shared" si="0"/>
        <v>0.29087829803244564</v>
      </c>
      <c r="F58" s="46">
        <f>Details!W58</f>
        <v>1635201.09</v>
      </c>
      <c r="G58" s="3">
        <v>91000</v>
      </c>
    </row>
    <row r="59" spans="1:17">
      <c r="A59" s="19"/>
      <c r="B59" s="67" t="str">
        <f>Details!B59</f>
        <v>Other Pastors</v>
      </c>
      <c r="C59" s="68">
        <f>Details!G59</f>
        <v>86878</v>
      </c>
      <c r="D59" s="128">
        <f>C59+Mar!D59</f>
        <v>267878</v>
      </c>
      <c r="E59" s="706">
        <f t="shared" si="0"/>
        <v>0.33908607594936707</v>
      </c>
      <c r="F59" s="46">
        <f>Details!W59</f>
        <v>790000</v>
      </c>
      <c r="G59" s="3">
        <v>7500</v>
      </c>
    </row>
    <row r="60" spans="1:17" s="9" customFormat="1">
      <c r="A60" s="19"/>
      <c r="B60" s="67" t="str">
        <f>Details!B60</f>
        <v>Janitor</v>
      </c>
      <c r="C60" s="68">
        <f>Details!G60</f>
        <v>63464.5</v>
      </c>
      <c r="D60" s="128">
        <f>C60+Mar!D60</f>
        <v>165165.76000000001</v>
      </c>
      <c r="E60" s="706">
        <f t="shared" si="0"/>
        <v>0.34800215780782806</v>
      </c>
      <c r="F60" s="46">
        <f>Details!W60</f>
        <v>474611.31</v>
      </c>
      <c r="G60" s="188">
        <v>50000</v>
      </c>
    </row>
    <row r="61" spans="1:17">
      <c r="A61" s="19"/>
      <c r="B61" s="67" t="str">
        <f>Details!B61</f>
        <v>Appreciation service for Pastor</v>
      </c>
      <c r="C61" s="68">
        <f>Details!G61</f>
        <v>0</v>
      </c>
      <c r="D61" s="128">
        <f>C61+Mar!D61</f>
        <v>0</v>
      </c>
      <c r="E61" s="706"/>
      <c r="F61" s="46">
        <f>Details!W61</f>
        <v>0</v>
      </c>
      <c r="G61" s="89">
        <v>5000</v>
      </c>
    </row>
    <row r="62" spans="1:17" s="9" customFormat="1">
      <c r="A62" s="158"/>
      <c r="B62" s="69" t="str">
        <f>Details!B62</f>
        <v>C. OPERATION COSTS</v>
      </c>
      <c r="C62" s="101">
        <f>Details!G62</f>
        <v>178883.12</v>
      </c>
      <c r="D62" s="129">
        <f>C62+Mar!D62</f>
        <v>387512.35924999998</v>
      </c>
      <c r="E62" s="707">
        <f t="shared" si="0"/>
        <v>0.36263555984465656</v>
      </c>
      <c r="F62" s="46">
        <f>Details!W62</f>
        <v>1068600</v>
      </c>
      <c r="G62" s="188">
        <v>0</v>
      </c>
    </row>
    <row r="63" spans="1:17">
      <c r="A63" s="19"/>
      <c r="B63" s="67" t="str">
        <f>Details!B63</f>
        <v>10th Year anniversary celebrations</v>
      </c>
      <c r="C63" s="68">
        <f>Details!G63</f>
        <v>0</v>
      </c>
      <c r="D63" s="128">
        <f>C63+Mar!D63</f>
        <v>0</v>
      </c>
      <c r="E63" s="706">
        <f t="shared" si="0"/>
        <v>0</v>
      </c>
      <c r="F63" s="46">
        <f>Details!W63</f>
        <v>200000</v>
      </c>
      <c r="G63" s="3">
        <v>41765</v>
      </c>
      <c r="H63" s="61"/>
      <c r="I63" s="61"/>
      <c r="J63" s="61"/>
      <c r="K63" s="61"/>
      <c r="L63" s="61"/>
      <c r="M63" s="61"/>
      <c r="N63" s="61"/>
      <c r="O63" s="61"/>
      <c r="P63" s="61"/>
      <c r="Q63" s="61"/>
    </row>
    <row r="64" spans="1:17">
      <c r="A64" s="19"/>
      <c r="B64" s="67" t="str">
        <f>Details!B64</f>
        <v xml:space="preserve">Bank charges: sms, maintenance, VAT etc. </v>
      </c>
      <c r="C64" s="68">
        <f>Details!G64</f>
        <v>2083.12</v>
      </c>
      <c r="D64" s="128">
        <f>C64+Mar!D64</f>
        <v>10502.36</v>
      </c>
      <c r="E64" s="706">
        <f t="shared" si="0"/>
        <v>0.47738000000000003</v>
      </c>
      <c r="F64" s="46">
        <f>Details!W64</f>
        <v>22000</v>
      </c>
      <c r="G64" s="3">
        <v>39085</v>
      </c>
    </row>
    <row r="65" spans="1:8">
      <c r="A65" s="19"/>
      <c r="B65" s="67" t="str">
        <f>Details!B65</f>
        <v>Church Council refreshments</v>
      </c>
      <c r="C65" s="68">
        <f>Details!G65</f>
        <v>0</v>
      </c>
      <c r="D65" s="128">
        <f>C65+Mar!D65</f>
        <v>6000</v>
      </c>
      <c r="E65" s="706">
        <f t="shared" si="0"/>
        <v>0.25</v>
      </c>
      <c r="F65" s="46">
        <f>Details!W65</f>
        <v>24000</v>
      </c>
      <c r="G65" s="3">
        <v>4000</v>
      </c>
    </row>
    <row r="66" spans="1:8">
      <c r="A66" s="19"/>
      <c r="B66" s="67" t="str">
        <f>Details!B66</f>
        <v>Church secreteriat</v>
      </c>
      <c r="C66" s="68">
        <f>Details!G66</f>
        <v>9000</v>
      </c>
      <c r="D66" s="128">
        <f>C66+Mar!D66</f>
        <v>37660</v>
      </c>
      <c r="E66" s="706">
        <f t="shared" si="0"/>
        <v>0.62766666666666671</v>
      </c>
      <c r="F66" s="46">
        <f>Details!W66</f>
        <v>60000</v>
      </c>
      <c r="G66" s="3">
        <v>39000</v>
      </c>
    </row>
    <row r="67" spans="1:8">
      <c r="A67" s="19"/>
      <c r="B67" s="67" t="str">
        <f>Details!B67</f>
        <v>Convention session</v>
      </c>
      <c r="C67" s="68">
        <f>Details!G67</f>
        <v>122300</v>
      </c>
      <c r="D67" s="128">
        <f>C67+Mar!D67</f>
        <v>132300</v>
      </c>
      <c r="E67" s="706">
        <f t="shared" si="0"/>
        <v>6.6150000000000002</v>
      </c>
      <c r="F67" s="46">
        <f>Details!W67</f>
        <v>20000</v>
      </c>
      <c r="G67" s="3"/>
    </row>
    <row r="68" spans="1:8">
      <c r="A68" s="19"/>
      <c r="B68" s="67" t="str">
        <f>Details!B68</f>
        <v>Electricity - church auditorium</v>
      </c>
      <c r="C68" s="68">
        <f>Details!G68</f>
        <v>0</v>
      </c>
      <c r="D68" s="128">
        <f>C68+Mar!D68</f>
        <v>5000</v>
      </c>
      <c r="E68" s="706">
        <f t="shared" si="0"/>
        <v>0.15625</v>
      </c>
      <c r="F68" s="46">
        <f>Details!W68</f>
        <v>32000</v>
      </c>
      <c r="G68" s="3">
        <v>214600</v>
      </c>
    </row>
    <row r="69" spans="1:8">
      <c r="A69" s="19"/>
      <c r="B69" s="67" t="str">
        <f>Details!B69</f>
        <v>Electricity - Pastorium</v>
      </c>
      <c r="C69" s="68">
        <f>Details!G69</f>
        <v>0</v>
      </c>
      <c r="D69" s="128">
        <f>C69+Mar!D69</f>
        <v>10000</v>
      </c>
      <c r="E69" s="706">
        <f t="shared" si="0"/>
        <v>0.20833333333333334</v>
      </c>
      <c r="F69" s="46">
        <f>Details!W69</f>
        <v>48000</v>
      </c>
      <c r="G69" s="3">
        <v>100000</v>
      </c>
    </row>
    <row r="70" spans="1:8" ht="34.5">
      <c r="A70" s="19"/>
      <c r="B70" s="71" t="str">
        <f>Details!B70</f>
        <v>Generators - fuel and maintenance church auditorium</v>
      </c>
      <c r="C70" s="68">
        <f>Details!G70</f>
        <v>26600</v>
      </c>
      <c r="D70" s="128">
        <f>C70+Mar!D70</f>
        <v>75949.999249999993</v>
      </c>
      <c r="E70" s="706">
        <f t="shared" si="0"/>
        <v>0.28570336312924144</v>
      </c>
      <c r="F70" s="46">
        <f>Details!W70</f>
        <v>265835.15999999997</v>
      </c>
      <c r="G70" s="3">
        <v>300</v>
      </c>
    </row>
    <row r="71" spans="1:8" ht="34.5">
      <c r="A71" s="19"/>
      <c r="B71" s="71" t="str">
        <f>Details!B71</f>
        <v>Generators - fuel and maintenance pastorium</v>
      </c>
      <c r="C71" s="68">
        <f>Details!G71</f>
        <v>18900</v>
      </c>
      <c r="D71" s="128">
        <f>C71+Mar!D71</f>
        <v>61300</v>
      </c>
      <c r="E71" s="706">
        <f t="shared" ref="E71:E112" si="1">D71/F71</f>
        <v>0.55342471491856082</v>
      </c>
      <c r="F71" s="46">
        <f>Details!W71</f>
        <v>110764.84</v>
      </c>
      <c r="G71" s="3">
        <v>214300</v>
      </c>
    </row>
    <row r="72" spans="1:8">
      <c r="A72" s="19"/>
      <c r="B72" s="67" t="str">
        <f>Details!B72</f>
        <v>Keep fit instructor</v>
      </c>
      <c r="C72" s="68">
        <f>Details!G72</f>
        <v>0</v>
      </c>
      <c r="D72" s="128">
        <f>C72+Mar!D72</f>
        <v>0</v>
      </c>
      <c r="E72" s="706"/>
      <c r="F72" s="46">
        <f>Details!W72</f>
        <v>0</v>
      </c>
    </row>
    <row r="73" spans="1:8">
      <c r="A73" s="19"/>
      <c r="B73" s="67" t="str">
        <f>Details!B73</f>
        <v xml:space="preserve">Ministers' Conference </v>
      </c>
      <c r="C73" s="68">
        <f>Details!G73</f>
        <v>0</v>
      </c>
      <c r="D73" s="128">
        <f>C73+Mar!D73</f>
        <v>0</v>
      </c>
      <c r="E73" s="706">
        <f t="shared" si="1"/>
        <v>0</v>
      </c>
      <c r="F73" s="46">
        <f>Details!W73</f>
        <v>6000</v>
      </c>
      <c r="G73" s="3">
        <v>416018.72000000003</v>
      </c>
    </row>
    <row r="74" spans="1:8" ht="34.5">
      <c r="A74" s="19"/>
      <c r="B74" s="71" t="str">
        <f>Details!B74</f>
        <v>Miscellanous (transport for CAN Minister, honorarium for supervisor)</v>
      </c>
      <c r="C74" s="96">
        <f>Details!G74</f>
        <v>0</v>
      </c>
      <c r="D74" s="131">
        <f>C74+Mar!D74</f>
        <v>5000</v>
      </c>
      <c r="E74" s="708">
        <f t="shared" si="1"/>
        <v>0.1</v>
      </c>
      <c r="F74" s="46">
        <f>Details!W74</f>
        <v>50000</v>
      </c>
      <c r="G74" s="3">
        <v>299749.46000000002</v>
      </c>
    </row>
    <row r="75" spans="1:8">
      <c r="A75" s="19"/>
      <c r="B75" s="67" t="str">
        <f>Details!B75</f>
        <v>Motorcycle</v>
      </c>
      <c r="C75" s="68">
        <f>Details!G75</f>
        <v>0</v>
      </c>
      <c r="D75" s="128">
        <f>C75+Mar!D75</f>
        <v>3800</v>
      </c>
      <c r="E75" s="706"/>
      <c r="F75" s="46">
        <f>Details!W75</f>
        <v>0</v>
      </c>
      <c r="G75" s="3">
        <v>81384.259999999995</v>
      </c>
    </row>
    <row r="76" spans="1:8">
      <c r="A76" s="19"/>
      <c r="B76" s="71" t="str">
        <f>Details!B76</f>
        <v>Ogbomoso Conference</v>
      </c>
      <c r="C76" s="68">
        <f>Details!G76</f>
        <v>0</v>
      </c>
      <c r="D76" s="128">
        <f>C76+Mar!D76</f>
        <v>0</v>
      </c>
      <c r="E76" s="706">
        <f t="shared" si="1"/>
        <v>0</v>
      </c>
      <c r="F76" s="46">
        <f>Details!W76</f>
        <v>25000</v>
      </c>
      <c r="G76" s="3">
        <v>34885</v>
      </c>
    </row>
    <row r="77" spans="1:8">
      <c r="A77" s="19"/>
      <c r="B77" s="67" t="str">
        <f>Details!B77</f>
        <v xml:space="preserve">Pastorium rent &amp; maintenance </v>
      </c>
      <c r="C77" s="68">
        <f>Details!G77</f>
        <v>0</v>
      </c>
      <c r="D77" s="128">
        <f>C77+Mar!D77</f>
        <v>0</v>
      </c>
      <c r="E77" s="706">
        <f t="shared" si="1"/>
        <v>0</v>
      </c>
      <c r="F77" s="46">
        <f>Details!W77</f>
        <v>150000</v>
      </c>
      <c r="G77" s="3">
        <v>1553311.33</v>
      </c>
    </row>
    <row r="78" spans="1:8">
      <c r="A78" s="19"/>
      <c r="B78" s="67" t="str">
        <f>Details!B78</f>
        <v>Pastors Wives' retreat</v>
      </c>
      <c r="C78" s="68">
        <f>Details!G78</f>
        <v>0</v>
      </c>
      <c r="D78" s="128">
        <f>C78+Mar!D78</f>
        <v>0</v>
      </c>
      <c r="E78" s="706">
        <f t="shared" si="1"/>
        <v>0</v>
      </c>
      <c r="F78" s="46">
        <f>Details!W78</f>
        <v>5000</v>
      </c>
      <c r="G78" s="3">
        <v>779793.71</v>
      </c>
    </row>
    <row r="79" spans="1:8">
      <c r="A79" s="19"/>
      <c r="B79" s="67" t="str">
        <f>Details!B79</f>
        <v>Workers' retreat organized by the church</v>
      </c>
      <c r="C79" s="68">
        <f>Details!G79</f>
        <v>0</v>
      </c>
      <c r="D79" s="128">
        <f>C79+Mar!D79</f>
        <v>40000</v>
      </c>
      <c r="E79" s="706">
        <f t="shared" si="1"/>
        <v>0.8</v>
      </c>
      <c r="F79" s="46">
        <f>Details!W79</f>
        <v>50000</v>
      </c>
      <c r="G79" s="3">
        <v>244124.68</v>
      </c>
      <c r="H79">
        <f>97812.83-97794.03</f>
        <v>18.80000000000291</v>
      </c>
    </row>
    <row r="80" spans="1:8">
      <c r="A80" s="19"/>
      <c r="B80" s="67"/>
      <c r="C80" s="68">
        <f>Details!G80</f>
        <v>0</v>
      </c>
      <c r="D80" s="128">
        <f>C80+Mar!D80</f>
        <v>0</v>
      </c>
      <c r="E80" s="706"/>
      <c r="F80" s="46">
        <f>Details!W80</f>
        <v>0</v>
      </c>
      <c r="G80" s="3">
        <v>97794.03</v>
      </c>
    </row>
    <row r="81" spans="1:7" s="696" customFormat="1" ht="34.5">
      <c r="A81" s="712"/>
      <c r="B81" s="703" t="str">
        <f>Details!B81</f>
        <v>D. NEW AUDITORIUM &amp; OTHER PROJECTS</v>
      </c>
      <c r="C81" s="710">
        <f>Details!G81</f>
        <v>284066</v>
      </c>
      <c r="D81" s="130">
        <f>C81+Mar!D81</f>
        <v>2873221.88</v>
      </c>
      <c r="E81" s="711">
        <f t="shared" si="1"/>
        <v>0.6920091233140655</v>
      </c>
      <c r="F81" s="345">
        <f>Details!W81</f>
        <v>4152000</v>
      </c>
      <c r="G81" s="695">
        <v>437875</v>
      </c>
    </row>
    <row r="82" spans="1:7">
      <c r="A82" s="19"/>
      <c r="B82" s="67" t="str">
        <f>Details!B82</f>
        <v>Bank charges - Access bank</v>
      </c>
      <c r="C82" s="68">
        <f>Details!G82</f>
        <v>66</v>
      </c>
      <c r="D82" s="128">
        <f>C82+Mar!D82</f>
        <v>891.88</v>
      </c>
      <c r="E82" s="706">
        <f t="shared" si="1"/>
        <v>0.44594</v>
      </c>
      <c r="F82" s="46">
        <f>Details!W82</f>
        <v>2000</v>
      </c>
    </row>
    <row r="83" spans="1:7">
      <c r="A83" s="19"/>
      <c r="B83" s="67" t="str">
        <f>Details!B83</f>
        <v>Borehole</v>
      </c>
      <c r="C83" s="68">
        <f>Details!G83</f>
        <v>20000</v>
      </c>
      <c r="D83" s="128">
        <f>C83+Mar!D83</f>
        <v>561230</v>
      </c>
      <c r="E83" s="706">
        <f t="shared" si="1"/>
        <v>0.86343076923076922</v>
      </c>
      <c r="F83" s="46">
        <f>Details!W83</f>
        <v>650000</v>
      </c>
    </row>
    <row r="84" spans="1:7">
      <c r="A84" s="19"/>
      <c r="B84" s="67" t="str">
        <f>Details!B84</f>
        <v>Development loan refund</v>
      </c>
      <c r="C84" s="68">
        <f>Details!G84</f>
        <v>0</v>
      </c>
      <c r="D84" s="128">
        <f>C84+Mar!D84</f>
        <v>0</v>
      </c>
      <c r="E84" s="706"/>
      <c r="F84" s="46">
        <f>Details!W84</f>
        <v>0</v>
      </c>
    </row>
    <row r="85" spans="1:7" s="9" customFormat="1">
      <c r="A85" s="19"/>
      <c r="B85" s="71" t="str">
        <f>Details!B85</f>
        <v>Gift-in-kind towards church auditorium</v>
      </c>
      <c r="C85" s="96">
        <f>Details!G85</f>
        <v>0</v>
      </c>
      <c r="D85" s="131">
        <f>C85+Mar!D85</f>
        <v>20800</v>
      </c>
      <c r="E85" s="708" t="s">
        <v>228</v>
      </c>
      <c r="F85" s="46">
        <f>Details!W85</f>
        <v>0</v>
      </c>
      <c r="G85" s="195">
        <f>D85-G77</f>
        <v>-1532511.33</v>
      </c>
    </row>
    <row r="86" spans="1:7">
      <c r="A86" s="19"/>
      <c r="B86" s="67" t="str">
        <f>Details!B86</f>
        <v>New  auditorium - block work, columns and roof beam</v>
      </c>
      <c r="C86" s="68">
        <f>Details!G86</f>
        <v>264000</v>
      </c>
      <c r="D86" s="128">
        <f>C86+Mar!D86</f>
        <v>2290300</v>
      </c>
      <c r="E86" s="706">
        <f t="shared" si="1"/>
        <v>0.6543714285714286</v>
      </c>
      <c r="F86" s="46">
        <f>Details!W86</f>
        <v>3500000</v>
      </c>
    </row>
    <row r="87" spans="1:7">
      <c r="A87" s="19"/>
      <c r="B87" s="67" t="str">
        <f>Details!B87</f>
        <v>Erection of new sign posts</v>
      </c>
      <c r="C87" s="68">
        <f>Details!G87</f>
        <v>0</v>
      </c>
      <c r="D87" s="128">
        <f>C87+Mar!D87</f>
        <v>0</v>
      </c>
      <c r="E87" s="706"/>
      <c r="F87" s="46">
        <f>Details!W87</f>
        <v>0</v>
      </c>
    </row>
    <row r="88" spans="1:7" s="9" customFormat="1">
      <c r="A88" s="158"/>
      <c r="B88" s="69"/>
      <c r="C88" s="101">
        <f>Details!G88</f>
        <v>0</v>
      </c>
      <c r="D88" s="129">
        <f>C88+Mar!D88</f>
        <v>0</v>
      </c>
      <c r="E88" s="707"/>
      <c r="F88" s="46">
        <f>Details!W88</f>
        <v>0</v>
      </c>
    </row>
    <row r="89" spans="1:7" s="696" customFormat="1">
      <c r="A89" s="712"/>
      <c r="B89" s="703" t="str">
        <f>Details!B89</f>
        <v>E. COOPERATIVE FUNDS</v>
      </c>
      <c r="C89" s="710">
        <f>Details!G89</f>
        <v>0</v>
      </c>
      <c r="D89" s="130">
        <f>C89+Mar!D89</f>
        <v>418510.1</v>
      </c>
      <c r="E89" s="711">
        <f t="shared" si="1"/>
        <v>0.17286662536142089</v>
      </c>
      <c r="F89" s="261">
        <f>Details!W89</f>
        <v>2421000</v>
      </c>
      <c r="G89" s="695">
        <v>0</v>
      </c>
    </row>
    <row r="90" spans="1:7" s="696" customFormat="1" ht="51.75">
      <c r="A90" s="413"/>
      <c r="B90" s="702" t="str">
        <f>Details!B90</f>
        <v>Association contributions - 3% of tithes &amp; SS, thanksgiving and general offerings</v>
      </c>
      <c r="C90" s="96">
        <f>Details!G90</f>
        <v>0</v>
      </c>
      <c r="D90" s="131">
        <f>C90+Mar!D90</f>
        <v>41850.959999999999</v>
      </c>
      <c r="E90" s="708">
        <f t="shared" si="1"/>
        <v>0.17286641883519208</v>
      </c>
      <c r="F90" s="46">
        <f>Details!W90</f>
        <v>242100</v>
      </c>
      <c r="G90" s="695"/>
    </row>
    <row r="91" spans="1:7" s="61" customFormat="1" ht="51.75">
      <c r="A91" s="413"/>
      <c r="B91" s="702" t="str">
        <f>Details!B91</f>
        <v>Conference contributions - 7% of tithes &amp;  SS, thanksgiving and general offerings</v>
      </c>
      <c r="C91" s="96">
        <f>Details!G91</f>
        <v>0</v>
      </c>
      <c r="D91" s="131">
        <f>C91+Mar!D91</f>
        <v>97652.239999999991</v>
      </c>
      <c r="E91" s="708">
        <f t="shared" si="1"/>
        <v>0.17286641883519205</v>
      </c>
      <c r="F91" s="46">
        <f>Details!W91</f>
        <v>564900</v>
      </c>
      <c r="G91" s="89">
        <v>2183105.04</v>
      </c>
    </row>
    <row r="92" spans="1:7">
      <c r="A92" s="19"/>
      <c r="B92" s="67" t="str">
        <f>Details!B92</f>
        <v>Convention contributions - 20% of tithes &amp; SS, thanksgiving and general  offerings</v>
      </c>
      <c r="C92" s="68">
        <f>Details!G92</f>
        <v>0</v>
      </c>
      <c r="D92" s="128">
        <f>C92+Mar!D92</f>
        <v>279006.90000000002</v>
      </c>
      <c r="E92" s="708">
        <f t="shared" si="1"/>
        <v>0.17286672862453534</v>
      </c>
      <c r="F92" s="46">
        <f>Details!W92</f>
        <v>1614000</v>
      </c>
      <c r="G92" s="3">
        <v>0</v>
      </c>
    </row>
    <row r="93" spans="1:7" s="9" customFormat="1">
      <c r="A93" s="158"/>
      <c r="B93" s="69"/>
      <c r="C93" s="101">
        <f>Details!G93</f>
        <v>0</v>
      </c>
      <c r="D93" s="129">
        <f>C93+Mar!D93</f>
        <v>0</v>
      </c>
      <c r="E93" s="707"/>
      <c r="F93" s="46">
        <f>Details!W93</f>
        <v>0</v>
      </c>
      <c r="G93" s="188">
        <v>1553311.33</v>
      </c>
    </row>
    <row r="94" spans="1:7" s="9" customFormat="1">
      <c r="A94" s="19"/>
      <c r="B94" s="69" t="str">
        <f>Details!B94</f>
        <v>F. DESIGNATED SAVINGS</v>
      </c>
      <c r="C94" s="68">
        <f>Details!G94</f>
        <v>100000</v>
      </c>
      <c r="D94" s="128">
        <f>C94+Mar!D94</f>
        <v>100000</v>
      </c>
      <c r="E94" s="706"/>
      <c r="F94" s="46">
        <f>Details!W94</f>
        <v>480000</v>
      </c>
      <c r="G94" s="188">
        <v>1553311.33</v>
      </c>
    </row>
    <row r="95" spans="1:7" s="61" customFormat="1" ht="34.5">
      <c r="A95" s="413"/>
      <c r="B95" s="702" t="str">
        <f>Details!B95</f>
        <v>Pastorium (rent, development of land etc.)</v>
      </c>
      <c r="C95" s="68">
        <f>Details!G95</f>
        <v>0</v>
      </c>
      <c r="D95" s="128">
        <f>C95+Mar!D95</f>
        <v>0</v>
      </c>
      <c r="E95" s="706"/>
      <c r="F95" s="46">
        <f>Details!W95</f>
        <v>0</v>
      </c>
      <c r="G95" s="89">
        <v>-150000</v>
      </c>
    </row>
    <row r="96" spans="1:7">
      <c r="A96" s="19"/>
      <c r="B96" s="67" t="str">
        <f>Details!B96</f>
        <v>New auditorium</v>
      </c>
      <c r="C96" s="68">
        <f>Details!G96</f>
        <v>100000</v>
      </c>
      <c r="D96" s="128">
        <f>C96+Mar!D96</f>
        <v>100000</v>
      </c>
      <c r="E96" s="706">
        <v>0</v>
      </c>
      <c r="F96" s="46">
        <f>Details!W96</f>
        <v>0</v>
      </c>
      <c r="G96" s="3"/>
    </row>
    <row r="97" spans="1:7" s="9" customFormat="1">
      <c r="A97" s="158"/>
      <c r="B97" s="67" t="str">
        <f>Details!B97</f>
        <v>Pastor's retirement 2025</v>
      </c>
      <c r="C97" s="101">
        <f>Details!G97</f>
        <v>0</v>
      </c>
      <c r="D97" s="128">
        <f>C97+Mar!D97</f>
        <v>0</v>
      </c>
      <c r="E97" s="706">
        <f t="shared" si="1"/>
        <v>0</v>
      </c>
      <c r="F97" s="46">
        <f>Details!W97</f>
        <v>480000</v>
      </c>
      <c r="G97" s="188"/>
    </row>
    <row r="98" spans="1:7" s="9" customFormat="1">
      <c r="A98" s="555"/>
      <c r="B98" s="69" t="str">
        <f>Details!B98</f>
        <v>Total Expenditure</v>
      </c>
      <c r="C98" s="101">
        <f>Details!G98</f>
        <v>1010595.75</v>
      </c>
      <c r="D98" s="129">
        <f>C98+Mar!D98</f>
        <v>5459442.6092499997</v>
      </c>
      <c r="E98" s="707">
        <f t="shared" si="1"/>
        <v>0.38901509088377317</v>
      </c>
      <c r="F98" s="46">
        <f>Details!W98</f>
        <v>14034012.4</v>
      </c>
    </row>
    <row r="99" spans="1:7">
      <c r="A99" s="18"/>
      <c r="B99" s="67" t="str">
        <f>Details!B99</f>
        <v>Balances in the church's accounts plus imprest account</v>
      </c>
      <c r="C99" s="68">
        <f>Details!G99</f>
        <v>674860.94</v>
      </c>
      <c r="D99" s="128">
        <f t="shared" ref="D99:D107" si="2">C99</f>
        <v>674860.94</v>
      </c>
      <c r="E99" s="706"/>
      <c r="F99" s="46">
        <f>Details!W99</f>
        <v>0</v>
      </c>
    </row>
    <row r="100" spans="1:7">
      <c r="A100" s="18"/>
      <c r="B100" s="67" t="str">
        <f>Details!B100</f>
        <v>First Bank of Nigeria</v>
      </c>
      <c r="C100" s="68">
        <f>Details!G100</f>
        <v>94865.45</v>
      </c>
      <c r="D100" s="128">
        <f t="shared" si="2"/>
        <v>94865.45</v>
      </c>
      <c r="E100" s="706"/>
      <c r="F100" s="46">
        <f>Details!W100</f>
        <v>0</v>
      </c>
    </row>
    <row r="101" spans="1:7">
      <c r="A101" s="18"/>
      <c r="B101" s="67" t="str">
        <f>Details!B101</f>
        <v>Add Cash/Cheque in-transit - FBN</v>
      </c>
      <c r="C101" s="68">
        <f>Details!G101</f>
        <v>0</v>
      </c>
      <c r="D101" s="128">
        <f t="shared" si="2"/>
        <v>0</v>
      </c>
      <c r="E101" s="706"/>
      <c r="F101" s="46">
        <f>Details!W101</f>
        <v>0</v>
      </c>
    </row>
    <row r="102" spans="1:7">
      <c r="A102" s="18"/>
      <c r="B102" s="67" t="str">
        <f>Details!B102</f>
        <v>Less Unpresented cheques - FBN</v>
      </c>
      <c r="C102" s="68">
        <f>Details!G102</f>
        <v>0</v>
      </c>
      <c r="D102" s="128">
        <f t="shared" si="2"/>
        <v>0</v>
      </c>
      <c r="E102" s="706"/>
      <c r="F102" s="46">
        <f>Details!W102</f>
        <v>0</v>
      </c>
    </row>
    <row r="103" spans="1:7">
      <c r="A103" s="18"/>
      <c r="B103" s="67" t="str">
        <f>Details!B103</f>
        <v>Randalpha MFB</v>
      </c>
      <c r="C103" s="68">
        <f>Details!G103</f>
        <v>78493.3</v>
      </c>
      <c r="D103" s="128">
        <f t="shared" si="2"/>
        <v>78493.3</v>
      </c>
      <c r="E103" s="706"/>
      <c r="F103" s="46">
        <f>Details!W103</f>
        <v>0</v>
      </c>
    </row>
    <row r="104" spans="1:7">
      <c r="A104" s="18"/>
      <c r="B104" s="67" t="str">
        <f>Details!B104</f>
        <v>Access Bank</v>
      </c>
      <c r="C104" s="68">
        <f>Details!G104</f>
        <v>501502.19</v>
      </c>
      <c r="D104" s="128">
        <f t="shared" si="2"/>
        <v>501502.19</v>
      </c>
      <c r="E104" s="706"/>
      <c r="F104" s="46">
        <f>Details!W104</f>
        <v>0</v>
      </c>
    </row>
    <row r="105" spans="1:7" ht="34.5">
      <c r="A105" s="469"/>
      <c r="B105" s="71" t="str">
        <f>Details!B105</f>
        <v>Add Cash/Cheque in-transit - Access Bank</v>
      </c>
      <c r="C105" s="68">
        <f>Details!G105</f>
        <v>0</v>
      </c>
      <c r="D105" s="128">
        <f t="shared" si="2"/>
        <v>0</v>
      </c>
      <c r="E105" s="706"/>
      <c r="F105" s="46">
        <f>Details!W105</f>
        <v>0</v>
      </c>
    </row>
    <row r="106" spans="1:7">
      <c r="A106" s="18"/>
      <c r="B106" s="67" t="str">
        <f>Details!B106</f>
        <v>Less Uncleared cheque - Access Bank</v>
      </c>
      <c r="C106" s="68">
        <f>Details!G106</f>
        <v>0</v>
      </c>
      <c r="D106" s="128">
        <f t="shared" si="2"/>
        <v>0</v>
      </c>
      <c r="E106" s="706"/>
      <c r="F106" s="46">
        <f>Details!W106</f>
        <v>0</v>
      </c>
    </row>
    <row r="107" spans="1:7">
      <c r="A107" s="18"/>
      <c r="B107" s="69" t="str">
        <f>Details!B107</f>
        <v>Imprest account (cash on hand)</v>
      </c>
      <c r="C107" s="68">
        <f>Details!G107</f>
        <v>0</v>
      </c>
      <c r="D107" s="128">
        <f t="shared" si="2"/>
        <v>0</v>
      </c>
      <c r="E107" s="706"/>
      <c r="F107" s="46">
        <f>Details!W107</f>
        <v>0</v>
      </c>
    </row>
    <row r="108" spans="1:7" s="61" customFormat="1">
      <c r="A108" s="469"/>
      <c r="B108" s="167" t="str">
        <f>Details!B108</f>
        <v>CONSOLIDATED INCOME &amp; EXPENDITURE REPORT</v>
      </c>
      <c r="C108" s="101"/>
      <c r="D108" s="129"/>
      <c r="E108" s="707"/>
      <c r="F108" s="46">
        <f>Details!W108</f>
        <v>0</v>
      </c>
    </row>
    <row r="109" spans="1:7" ht="34.5">
      <c r="A109" s="18"/>
      <c r="B109" s="709" t="str">
        <f>Details!B109</f>
        <v>Income from all sources, including B/F from 2020</v>
      </c>
      <c r="C109" s="68">
        <f>Details!G109</f>
        <v>1585456.6899999997</v>
      </c>
      <c r="D109" s="128">
        <f>D25</f>
        <v>6034303.5499999998</v>
      </c>
      <c r="E109" s="706">
        <f t="shared" si="1"/>
        <v>0.48310860779574533</v>
      </c>
      <c r="F109" s="46">
        <f>Details!W109</f>
        <v>12490573.450000001</v>
      </c>
    </row>
    <row r="110" spans="1:7">
      <c r="B110" s="67" t="str">
        <f>Details!B110</f>
        <v>Total expenditure on new auditorium</v>
      </c>
      <c r="C110" s="68">
        <f>Details!G110</f>
        <v>264066</v>
      </c>
      <c r="D110" s="128">
        <f>C110+Mar!D110</f>
        <v>2311991.88</v>
      </c>
      <c r="E110" s="706">
        <f t="shared" si="1"/>
        <v>0.66019185608223874</v>
      </c>
      <c r="F110" s="46">
        <f>Details!W110</f>
        <v>3502000</v>
      </c>
    </row>
    <row r="111" spans="1:7" s="696" customFormat="1" ht="34.5">
      <c r="B111" s="703" t="str">
        <f>Details!B111</f>
        <v>General expenditure including amount transferred to building fund</v>
      </c>
      <c r="C111" s="710">
        <f>Details!G111</f>
        <v>746529.75</v>
      </c>
      <c r="D111" s="130">
        <f>C111+Mar!D111</f>
        <v>3147450.7292499999</v>
      </c>
      <c r="E111" s="711">
        <f t="shared" si="1"/>
        <v>0.22427304747500434</v>
      </c>
      <c r="F111" s="46">
        <f>Details!W111</f>
        <v>14034012.4</v>
      </c>
    </row>
    <row r="112" spans="1:7" s="696" customFormat="1" ht="34.5">
      <c r="B112" s="703" t="str">
        <f>Details!B112</f>
        <v>Total expenditure: new auditorium &amp; general</v>
      </c>
      <c r="C112" s="710">
        <f>Details!G112</f>
        <v>1010595.75</v>
      </c>
      <c r="D112" s="130">
        <f>C112+Mar!D112</f>
        <v>5459442.6092499997</v>
      </c>
      <c r="E112" s="711">
        <f t="shared" si="1"/>
        <v>0.38901509088377317</v>
      </c>
      <c r="F112" s="261">
        <f>Details!W112</f>
        <v>14034012.4</v>
      </c>
    </row>
    <row r="113" spans="2:3">
      <c r="B113" s="67" t="str">
        <f>Details!B113</f>
        <v>Control</v>
      </c>
      <c r="C113">
        <f>Details!E113</f>
        <v>0</v>
      </c>
    </row>
    <row r="114" spans="2:3">
      <c r="B114" s="67"/>
    </row>
    <row r="115" spans="2:3">
      <c r="B115" s="67"/>
    </row>
  </sheetData>
  <mergeCells count="3">
    <mergeCell ref="A1:E1"/>
    <mergeCell ref="A2:E2"/>
    <mergeCell ref="A3:E3"/>
  </mergeCells>
  <pageMargins left="0.7" right="0.7" top="0.75" bottom="0.75" header="0.3" footer="0.3"/>
  <pageSetup paperSize="9" scale="82" fitToHeight="2" orientation="portrait" r:id="rId1"/>
  <headerFooter>
    <oddFooter>&amp;LNSBC Yaku Ogbomoso, Treasurer's Report April 30, 2020&amp;R&amp;P</oddFooter>
  </headerFooter>
  <rowBreaks count="1" manualBreakCount="1">
    <brk id="59" max="4" man="1"/>
  </rowBreaks>
</worksheet>
</file>

<file path=xl/worksheets/sheet11.xml><?xml version="1.0" encoding="utf-8"?>
<worksheet xmlns="http://schemas.openxmlformats.org/spreadsheetml/2006/main" xmlns:r="http://schemas.openxmlformats.org/officeDocument/2006/relationships">
  <dimension ref="A1:L110"/>
  <sheetViews>
    <sheetView zoomScaleSheetLayoutView="100" workbookViewId="0">
      <pane xSplit="2" ySplit="5" topLeftCell="C6" activePane="bottomRight" state="frozen"/>
      <selection pane="topRight" activeCell="C1" sqref="C1"/>
      <selection pane="bottomLeft" activeCell="A6" sqref="A6"/>
      <selection pane="bottomRight" activeCell="C6" sqref="C6"/>
    </sheetView>
  </sheetViews>
  <sheetFormatPr defaultRowHeight="15"/>
  <cols>
    <col min="1" max="1" width="8.28515625" customWidth="1"/>
    <col min="2" max="2" width="49.7109375" customWidth="1"/>
    <col min="3" max="3" width="22.140625" customWidth="1"/>
    <col min="4" max="4" width="23" customWidth="1"/>
    <col min="5" max="5" width="19.42578125" style="260" customWidth="1"/>
    <col min="6" max="6" width="24" customWidth="1"/>
    <col min="7" max="8" width="9.140625" customWidth="1"/>
    <col min="9" max="9" width="15.140625" customWidth="1"/>
    <col min="10" max="10" width="22.140625" customWidth="1"/>
    <col min="11" max="11" width="18.28515625" customWidth="1"/>
    <col min="12" max="12" width="20" customWidth="1"/>
  </cols>
  <sheetData>
    <row r="1" spans="1:10" ht="19.5" thickTop="1">
      <c r="A1" s="753" t="s">
        <v>30</v>
      </c>
      <c r="B1" s="754"/>
      <c r="C1" s="754"/>
      <c r="D1" s="754"/>
      <c r="E1" s="500"/>
    </row>
    <row r="2" spans="1:10" ht="18.75">
      <c r="A2" s="755" t="s">
        <v>210</v>
      </c>
      <c r="B2" s="756"/>
      <c r="C2" s="756"/>
      <c r="D2" s="756"/>
      <c r="E2" s="501"/>
    </row>
    <row r="3" spans="1:10" ht="18.75">
      <c r="A3" s="755" t="s">
        <v>234</v>
      </c>
      <c r="B3" s="756"/>
      <c r="C3" s="756"/>
      <c r="D3" s="756"/>
      <c r="E3" s="501"/>
    </row>
    <row r="4" spans="1:10" ht="19.5" thickBot="1">
      <c r="A4" s="276"/>
      <c r="B4" s="502" t="s">
        <v>40</v>
      </c>
      <c r="C4" s="277"/>
      <c r="D4" s="278"/>
      <c r="E4" s="279"/>
    </row>
    <row r="5" spans="1:10" s="61" customFormat="1" ht="42.75" customHeight="1" thickTop="1">
      <c r="A5" s="280" t="s">
        <v>43</v>
      </c>
      <c r="B5" s="281"/>
      <c r="C5" s="281" t="s">
        <v>90</v>
      </c>
      <c r="D5" s="282" t="s">
        <v>41</v>
      </c>
      <c r="E5" s="283" t="s">
        <v>68</v>
      </c>
      <c r="F5" s="62" t="s">
        <v>69</v>
      </c>
    </row>
    <row r="6" spans="1:10" ht="18.75">
      <c r="A6" s="284">
        <v>1</v>
      </c>
      <c r="B6" s="285" t="str">
        <f>Details!B6</f>
        <v>Bank interest</v>
      </c>
      <c r="C6" s="286">
        <f>Details!H6</f>
        <v>134.22999999999999</v>
      </c>
      <c r="D6" s="287">
        <f>Details!T6</f>
        <v>528.69999999999993</v>
      </c>
      <c r="E6" s="288">
        <f>D6/F6</f>
        <v>0.88116666666666654</v>
      </c>
      <c r="F6" s="46">
        <f>Details!W6</f>
        <v>600</v>
      </c>
      <c r="I6" s="3"/>
    </row>
    <row r="7" spans="1:10" ht="18.75">
      <c r="A7" s="284">
        <v>2</v>
      </c>
      <c r="B7" s="285" t="str">
        <f>Details!B7</f>
        <v>Benevolence</v>
      </c>
      <c r="C7" s="286">
        <f>Details!H7</f>
        <v>16955</v>
      </c>
      <c r="D7" s="287">
        <f>Details!T7</f>
        <v>121770</v>
      </c>
      <c r="E7" s="288">
        <f>D7/F7</f>
        <v>0.81179999999999997</v>
      </c>
      <c r="F7" s="46">
        <f>Details!W7</f>
        <v>150000</v>
      </c>
      <c r="I7" s="3"/>
    </row>
    <row r="8" spans="1:10" ht="18.75">
      <c r="A8" s="284">
        <v>3</v>
      </c>
      <c r="B8" s="285" t="str">
        <f>Details!B8</f>
        <v>Building (cash and kind)</v>
      </c>
      <c r="C8" s="286">
        <f>Details!H8</f>
        <v>121000</v>
      </c>
      <c r="D8" s="287">
        <f>Details!T8</f>
        <v>943800</v>
      </c>
      <c r="E8" s="288">
        <f>D8/F8</f>
        <v>0.47189999999999999</v>
      </c>
      <c r="F8" s="46">
        <f>Details!W8</f>
        <v>2000000</v>
      </c>
      <c r="I8" s="3"/>
    </row>
    <row r="9" spans="1:10" ht="18.75" hidden="1">
      <c r="A9" s="284">
        <v>4</v>
      </c>
      <c r="B9" s="285" t="str">
        <f>Details!B9</f>
        <v>Designated offering towards borehole</v>
      </c>
      <c r="C9" s="286">
        <f>Details!H9</f>
        <v>0</v>
      </c>
      <c r="D9" s="287">
        <f>Details!T9</f>
        <v>418000</v>
      </c>
      <c r="E9" s="288">
        <f>D9/F9</f>
        <v>4.18</v>
      </c>
      <c r="F9" s="46">
        <f>Details!W9</f>
        <v>100000</v>
      </c>
      <c r="I9" s="3"/>
    </row>
    <row r="10" spans="1:10" ht="18.75">
      <c r="A10" s="284">
        <v>5</v>
      </c>
      <c r="B10" s="285" t="str">
        <f>Details!B10</f>
        <v>Designated offering towards Praise Festival</v>
      </c>
      <c r="C10" s="286">
        <f>Details!H10</f>
        <v>0</v>
      </c>
      <c r="D10" s="287">
        <f>Details!T10</f>
        <v>0</v>
      </c>
      <c r="E10" s="288"/>
      <c r="F10" s="46">
        <f>Details!W10</f>
        <v>0</v>
      </c>
      <c r="I10" s="3"/>
    </row>
    <row r="11" spans="1:10" ht="18.75">
      <c r="A11" s="284">
        <v>6</v>
      </c>
      <c r="B11" s="285" t="str">
        <f>Details!B11</f>
        <v>Foreign Mission offering</v>
      </c>
      <c r="C11" s="286">
        <f>Details!H11</f>
        <v>0</v>
      </c>
      <c r="D11" s="287">
        <f>Details!T11</f>
        <v>0</v>
      </c>
      <c r="E11" s="288"/>
      <c r="F11" s="46">
        <f>Details!W11</f>
        <v>0</v>
      </c>
      <c r="I11" s="3"/>
    </row>
    <row r="12" spans="1:10" ht="18.75">
      <c r="A12" s="289">
        <v>7</v>
      </c>
      <c r="B12" s="285" t="str">
        <f>Details!B12</f>
        <v>Home Mission offering</v>
      </c>
      <c r="C12" s="286">
        <f>Details!H12</f>
        <v>0</v>
      </c>
      <c r="D12" s="287">
        <f>Details!T12</f>
        <v>100000</v>
      </c>
      <c r="E12" s="288"/>
      <c r="F12" s="46">
        <f>Details!W12</f>
        <v>300000</v>
      </c>
      <c r="I12" s="3"/>
    </row>
    <row r="13" spans="1:10" ht="18.75" hidden="1">
      <c r="A13" s="284">
        <v>8</v>
      </c>
      <c r="B13" s="285" t="str">
        <f>Details!B14</f>
        <v>Designated - Teenagers' Church</v>
      </c>
      <c r="C13" s="286">
        <f>Details!H14</f>
        <v>0</v>
      </c>
      <c r="D13" s="287">
        <f>Details!T14</f>
        <v>0</v>
      </c>
      <c r="E13" s="288">
        <f t="shared" ref="E13:E18" si="0">D13/F13</f>
        <v>0</v>
      </c>
      <c r="F13" s="46">
        <f>Details!W14</f>
        <v>50000</v>
      </c>
      <c r="I13" s="100"/>
      <c r="J13" s="2"/>
    </row>
    <row r="14" spans="1:10" ht="18.75">
      <c r="A14" s="284">
        <v>8</v>
      </c>
      <c r="B14" s="285" t="str">
        <f>Details!B15</f>
        <v>Offering</v>
      </c>
      <c r="C14" s="286">
        <f>Details!H15</f>
        <v>138525</v>
      </c>
      <c r="D14" s="287">
        <f>Details!T15</f>
        <v>598815</v>
      </c>
      <c r="E14" s="288">
        <f t="shared" si="0"/>
        <v>0.59881499999999999</v>
      </c>
      <c r="F14" s="46">
        <f>Details!W15</f>
        <v>1000000</v>
      </c>
      <c r="I14" s="3"/>
    </row>
    <row r="15" spans="1:10" ht="18.75">
      <c r="A15" s="284">
        <v>9</v>
      </c>
      <c r="B15" s="285" t="str">
        <f>Details!B16</f>
        <v xml:space="preserve">Sunday School </v>
      </c>
      <c r="C15" s="286">
        <f>Details!H16</f>
        <v>26490</v>
      </c>
      <c r="D15" s="287">
        <f>Details!T16</f>
        <v>125430</v>
      </c>
      <c r="E15" s="288">
        <f t="shared" si="0"/>
        <v>0.73782352941176466</v>
      </c>
      <c r="F15" s="46">
        <f>Details!W16</f>
        <v>170000</v>
      </c>
      <c r="I15" s="3"/>
    </row>
    <row r="16" spans="1:10" ht="18.75">
      <c r="A16" s="284">
        <v>10</v>
      </c>
      <c r="B16" s="285" t="str">
        <f>Details!B17</f>
        <v>Thanksgiving</v>
      </c>
      <c r="C16" s="286">
        <f>Details!H17</f>
        <v>50835</v>
      </c>
      <c r="D16" s="287">
        <f>Details!T17</f>
        <v>423875</v>
      </c>
      <c r="E16" s="288">
        <f t="shared" si="0"/>
        <v>1.0596874999999999</v>
      </c>
      <c r="F16" s="46">
        <f>Details!W17</f>
        <v>400000</v>
      </c>
      <c r="I16" s="3"/>
    </row>
    <row r="17" spans="1:9" ht="18.75">
      <c r="A17" s="284">
        <v>11</v>
      </c>
      <c r="B17" s="285" t="str">
        <f>Details!B18</f>
        <v>Tithes</v>
      </c>
      <c r="C17" s="286">
        <f>Details!H18</f>
        <v>506820</v>
      </c>
      <c r="D17" s="287">
        <f>Details!T18</f>
        <v>3607971</v>
      </c>
      <c r="E17" s="288">
        <f t="shared" si="0"/>
        <v>0.55507246153846157</v>
      </c>
      <c r="F17" s="46">
        <f>Details!W18</f>
        <v>6500000</v>
      </c>
      <c r="I17" s="3"/>
    </row>
    <row r="18" spans="1:9" ht="18.75">
      <c r="A18" s="284">
        <v>12</v>
      </c>
      <c r="B18" s="285" t="str">
        <f>Details!B19</f>
        <v>Total income this reporting period</v>
      </c>
      <c r="C18" s="290">
        <f>Details!H19</f>
        <v>860759.23</v>
      </c>
      <c r="D18" s="290">
        <f>Details!T19</f>
        <v>6340189.7000000002</v>
      </c>
      <c r="E18" s="291">
        <f t="shared" si="0"/>
        <v>0.59417368282945671</v>
      </c>
      <c r="F18" s="46">
        <f>Details!W19</f>
        <v>10670600</v>
      </c>
      <c r="I18" s="3"/>
    </row>
    <row r="19" spans="1:9" ht="37.5">
      <c r="A19" s="284"/>
      <c r="B19" s="311" t="str">
        <f>Details!B20</f>
        <v>B/F from previous month/quarter: First Bank of Nigeria</v>
      </c>
      <c r="C19" s="292">
        <f>SUM(Apr!C97:C99)</f>
        <v>1685456.69</v>
      </c>
      <c r="D19" s="293">
        <f>Details!T20</f>
        <v>286762.07</v>
      </c>
      <c r="E19" s="288"/>
      <c r="F19" s="46"/>
      <c r="I19" s="3"/>
    </row>
    <row r="20" spans="1:9" ht="18.75">
      <c r="A20" s="284"/>
      <c r="B20" s="311" t="str">
        <f>Details!B21</f>
        <v xml:space="preserve">                               Randalapha MFB</v>
      </c>
      <c r="C20" s="286">
        <f>Apr!C100</f>
        <v>94865.45</v>
      </c>
      <c r="D20" s="286">
        <f>Details!T21</f>
        <v>16787.310000000001</v>
      </c>
      <c r="E20" s="288"/>
      <c r="F20" s="46"/>
      <c r="I20" s="3"/>
    </row>
    <row r="21" spans="1:9" ht="24.75" customHeight="1">
      <c r="A21" s="284"/>
      <c r="B21" s="311" t="str">
        <f>Details!B22</f>
        <v xml:space="preserve">                               Access Bank (Building fund)</v>
      </c>
      <c r="C21" s="286">
        <f>SUM(Apr!C101:C103)</f>
        <v>78493.3</v>
      </c>
      <c r="D21" s="286">
        <f>Details!T22</f>
        <v>1513424.07</v>
      </c>
      <c r="E21" s="288"/>
      <c r="F21" s="46"/>
      <c r="I21" s="3"/>
    </row>
    <row r="22" spans="1:9" ht="37.5">
      <c r="A22" s="284"/>
      <c r="B22" s="311" t="str">
        <f>Details!B23</f>
        <v xml:space="preserve">                               Imprest Account (Cash on hand)</v>
      </c>
      <c r="C22" s="294">
        <f>Apr!C104</f>
        <v>501502.19</v>
      </c>
      <c r="D22" s="286">
        <f>Details!T23</f>
        <v>3000</v>
      </c>
      <c r="E22" s="295"/>
      <c r="F22" s="46"/>
      <c r="I22" s="3"/>
    </row>
    <row r="23" spans="1:9" ht="41.25" customHeight="1">
      <c r="A23" s="284"/>
      <c r="B23" s="296" t="str">
        <f>Details!B24</f>
        <v>Total B/F from 2020 or last month or quarter</v>
      </c>
      <c r="C23" s="297">
        <f>Details!H24</f>
        <v>674860.94</v>
      </c>
      <c r="D23" s="298">
        <f>Details!T24</f>
        <v>1819973.4500000002</v>
      </c>
      <c r="E23" s="299"/>
      <c r="F23" s="46"/>
      <c r="I23" s="3"/>
    </row>
    <row r="24" spans="1:9" ht="18.75">
      <c r="A24" s="284"/>
      <c r="B24" s="300" t="str">
        <f>Details!B25</f>
        <v>Total Income/Available cash</v>
      </c>
      <c r="C24" s="290">
        <f>C18+C23</f>
        <v>1535620.17</v>
      </c>
      <c r="D24" s="290">
        <f>Details!T25</f>
        <v>8160163.1500000004</v>
      </c>
      <c r="E24" s="295">
        <f>D24/F24</f>
        <v>0.65330572552695731</v>
      </c>
      <c r="F24" s="46">
        <f>F18+D23</f>
        <v>12490573.449999999</v>
      </c>
      <c r="I24" s="3"/>
    </row>
    <row r="25" spans="1:9" ht="18.75">
      <c r="A25" s="284"/>
      <c r="B25" s="300" t="str">
        <f>Details!B26</f>
        <v>EXPENDITURE</v>
      </c>
      <c r="C25" s="286"/>
      <c r="D25" s="301"/>
      <c r="E25" s="288"/>
      <c r="F25" s="46"/>
      <c r="I25" s="3"/>
    </row>
    <row r="26" spans="1:9" ht="18.75">
      <c r="A26" s="284"/>
      <c r="B26" s="300" t="str">
        <f>Details!B27</f>
        <v>A. CHURCH MINISTRIES</v>
      </c>
      <c r="C26" s="290">
        <f>Details!H27</f>
        <v>85240</v>
      </c>
      <c r="D26" s="301">
        <f>Details!T27</f>
        <v>1016150</v>
      </c>
      <c r="E26" s="291">
        <f>D26/F26</f>
        <v>0.33730000663878379</v>
      </c>
      <c r="F26" s="46">
        <f>Details!W27</f>
        <v>3012600</v>
      </c>
      <c r="I26" s="3"/>
    </row>
    <row r="27" spans="1:9" ht="18.75">
      <c r="A27" s="284"/>
      <c r="B27" s="285" t="str">
        <f>Details!B28</f>
        <v>Benevolence</v>
      </c>
      <c r="C27" s="286">
        <f>Details!H28</f>
        <v>20000</v>
      </c>
      <c r="D27" s="287">
        <f>Details!T28</f>
        <v>193940</v>
      </c>
      <c r="E27" s="288">
        <f t="shared" ref="E27:E51" si="1">D27/F27</f>
        <v>0.543249299719888</v>
      </c>
      <c r="F27" s="46">
        <f>Details!W28</f>
        <v>357000</v>
      </c>
      <c r="I27" s="3"/>
    </row>
    <row r="28" spans="1:9" ht="18.75">
      <c r="A28" s="284"/>
      <c r="B28" s="285" t="str">
        <f>Details!B29</f>
        <v>Childrens' Department</v>
      </c>
      <c r="C28" s="286">
        <f>Details!H29</f>
        <v>26200</v>
      </c>
      <c r="D28" s="287">
        <f>Details!T29</f>
        <v>98380</v>
      </c>
      <c r="E28" s="288">
        <f t="shared" si="1"/>
        <v>0.37265151515151518</v>
      </c>
      <c r="F28" s="46">
        <f>Details!W29</f>
        <v>264000</v>
      </c>
      <c r="I28" s="3"/>
    </row>
    <row r="29" spans="1:9" ht="18.75">
      <c r="A29" s="284"/>
      <c r="B29" s="285" t="str">
        <f>Details!B30</f>
        <v>Church decorations</v>
      </c>
      <c r="C29" s="286">
        <f>Details!H30</f>
        <v>0</v>
      </c>
      <c r="D29" s="287">
        <f>Details!T30</f>
        <v>0</v>
      </c>
      <c r="E29" s="288">
        <f t="shared" si="1"/>
        <v>0</v>
      </c>
      <c r="F29" s="46">
        <f>Details!W30</f>
        <v>25000</v>
      </c>
      <c r="I29" s="3"/>
    </row>
    <row r="30" spans="1:9" ht="18.75">
      <c r="A30" s="284"/>
      <c r="B30" s="285" t="str">
        <f>Details!B31</f>
        <v>Church Maintenance</v>
      </c>
      <c r="C30" s="286">
        <f>Details!H31</f>
        <v>0</v>
      </c>
      <c r="D30" s="287">
        <f>Details!T31</f>
        <v>0</v>
      </c>
      <c r="E30" s="288">
        <f t="shared" si="1"/>
        <v>0</v>
      </c>
      <c r="F30" s="46">
        <f>Details!W31</f>
        <v>20000</v>
      </c>
      <c r="I30" s="3"/>
    </row>
    <row r="31" spans="1:9" ht="18.75">
      <c r="A31" s="284"/>
      <c r="B31" s="285" t="str">
        <f>Details!B33</f>
        <v>Discipleship Department</v>
      </c>
      <c r="C31" s="286">
        <f>Details!H33</f>
        <v>0</v>
      </c>
      <c r="D31" s="287">
        <f>Details!T33</f>
        <v>0</v>
      </c>
      <c r="E31" s="288">
        <f t="shared" si="1"/>
        <v>0</v>
      </c>
      <c r="F31" s="46">
        <f>Details!W33</f>
        <v>15000</v>
      </c>
      <c r="I31" s="3"/>
    </row>
    <row r="32" spans="1:9" ht="18.75">
      <c r="A32" s="284"/>
      <c r="B32" s="285" t="str">
        <f>Details!B34</f>
        <v>Drama Committee</v>
      </c>
      <c r="C32" s="286">
        <f>Details!H34</f>
        <v>10000</v>
      </c>
      <c r="D32" s="287">
        <f>Details!T34</f>
        <v>10000</v>
      </c>
      <c r="E32" s="288">
        <f t="shared" si="1"/>
        <v>0.2857142857142857</v>
      </c>
      <c r="F32" s="46">
        <f>Details!W34</f>
        <v>35000</v>
      </c>
      <c r="I32" s="3"/>
    </row>
    <row r="33" spans="1:9" ht="37.5">
      <c r="A33" s="284"/>
      <c r="B33" s="302" t="str">
        <f>Details!B35</f>
        <v>End of year outreach - Heaven's Link Praise Festival</v>
      </c>
      <c r="C33" s="293">
        <f>Details!H35</f>
        <v>0</v>
      </c>
      <c r="D33" s="303">
        <f>Details!T35</f>
        <v>0</v>
      </c>
      <c r="E33" s="304">
        <f t="shared" si="1"/>
        <v>0</v>
      </c>
      <c r="F33" s="46">
        <f>Details!W35</f>
        <v>130000</v>
      </c>
      <c r="I33" s="3"/>
    </row>
    <row r="34" spans="1:9" ht="18.75">
      <c r="A34" s="284"/>
      <c r="B34" s="285" t="str">
        <f>Details!B36</f>
        <v>Evangelism Committee</v>
      </c>
      <c r="C34" s="286">
        <f>Details!H36</f>
        <v>0</v>
      </c>
      <c r="D34" s="287">
        <f>Details!T36</f>
        <v>256400</v>
      </c>
      <c r="E34" s="288">
        <f t="shared" si="1"/>
        <v>0.51280000000000003</v>
      </c>
      <c r="F34" s="46">
        <f>Details!W36</f>
        <v>500000</v>
      </c>
      <c r="I34" s="3"/>
    </row>
    <row r="35" spans="1:9" ht="18.75">
      <c r="A35" s="284"/>
      <c r="B35" s="285" t="str">
        <f>Details!B37</f>
        <v>Exemplary Youth Award</v>
      </c>
      <c r="C35" s="286">
        <f>Details!H37</f>
        <v>0</v>
      </c>
      <c r="D35" s="287">
        <f>Details!T37</f>
        <v>0</v>
      </c>
      <c r="E35" s="288"/>
      <c r="F35" s="46">
        <f>Details!W37</f>
        <v>75000</v>
      </c>
      <c r="I35" s="3"/>
    </row>
    <row r="36" spans="1:9" ht="18.75">
      <c r="A36" s="284"/>
      <c r="B36" s="285" t="str">
        <f>Details!B38</f>
        <v>External Affairs</v>
      </c>
      <c r="C36" s="286">
        <f>Details!H38</f>
        <v>6940</v>
      </c>
      <c r="D36" s="287">
        <f>Details!T38</f>
        <v>36940</v>
      </c>
      <c r="E36" s="288">
        <f t="shared" si="1"/>
        <v>0.97210526315789469</v>
      </c>
      <c r="F36" s="46">
        <f>Details!W38</f>
        <v>38000</v>
      </c>
      <c r="I36" s="3"/>
    </row>
    <row r="37" spans="1:9" ht="18.75">
      <c r="A37" s="284"/>
      <c r="B37" s="285" t="str">
        <f>Details!B39</f>
        <v>Health Committee</v>
      </c>
      <c r="C37" s="286">
        <f>Details!H39</f>
        <v>0</v>
      </c>
      <c r="D37" s="287">
        <f>Details!T39</f>
        <v>3200</v>
      </c>
      <c r="E37" s="288"/>
      <c r="F37" s="46">
        <f>Details!W39</f>
        <v>34500</v>
      </c>
      <c r="I37" s="3"/>
    </row>
    <row r="38" spans="1:9" ht="18.75">
      <c r="A38" s="284"/>
      <c r="B38" s="285" t="str">
        <f>Details!B40</f>
        <v>Hospitality Committee</v>
      </c>
      <c r="C38" s="286">
        <f>Details!H40</f>
        <v>6500</v>
      </c>
      <c r="D38" s="287">
        <f>Details!T40</f>
        <v>21990</v>
      </c>
      <c r="E38" s="288">
        <f t="shared" si="1"/>
        <v>8.3675799086757985E-2</v>
      </c>
      <c r="F38" s="46">
        <f>Details!W40</f>
        <v>262800</v>
      </c>
      <c r="I38" s="3"/>
    </row>
    <row r="39" spans="1:9" ht="18.75">
      <c r="A39" s="284"/>
      <c r="B39" s="285" t="str">
        <f>Details!B41</f>
        <v>Media/Sound Unit</v>
      </c>
      <c r="C39" s="286">
        <f>Details!H41</f>
        <v>10500</v>
      </c>
      <c r="D39" s="287">
        <f>Details!T41</f>
        <v>46400</v>
      </c>
      <c r="E39" s="288">
        <f t="shared" si="1"/>
        <v>0.30933333333333335</v>
      </c>
      <c r="F39" s="46">
        <f>Details!W41</f>
        <v>150000</v>
      </c>
      <c r="I39" s="3"/>
    </row>
    <row r="40" spans="1:9" ht="18.75">
      <c r="A40" s="284"/>
      <c r="B40" s="285" t="str">
        <f>Details!B42</f>
        <v>MMU</v>
      </c>
      <c r="C40" s="286">
        <f>Details!H42</f>
        <v>600</v>
      </c>
      <c r="D40" s="287">
        <f>Details!T42</f>
        <v>600</v>
      </c>
      <c r="E40" s="288">
        <f t="shared" si="1"/>
        <v>1.2E-2</v>
      </c>
      <c r="F40" s="46">
        <f>Details!W42</f>
        <v>50000</v>
      </c>
      <c r="I40" s="3"/>
    </row>
    <row r="41" spans="1:9" ht="18.75">
      <c r="A41" s="284"/>
      <c r="B41" s="285" t="str">
        <f>Details!B43</f>
        <v>Music Department</v>
      </c>
      <c r="C41" s="286">
        <f>Details!H43</f>
        <v>0</v>
      </c>
      <c r="D41" s="287">
        <f>Details!T43</f>
        <v>49000</v>
      </c>
      <c r="E41" s="288"/>
      <c r="F41" s="46">
        <f>Details!W43</f>
        <v>281000</v>
      </c>
      <c r="I41" s="3"/>
    </row>
    <row r="42" spans="1:9" ht="18.75">
      <c r="A42" s="284"/>
      <c r="B42" s="285" t="str">
        <f>Details!B44</f>
        <v>Nominating</v>
      </c>
      <c r="C42" s="286">
        <f>Details!H44</f>
        <v>0</v>
      </c>
      <c r="D42" s="287">
        <f>Details!T44</f>
        <v>0</v>
      </c>
      <c r="E42" s="288" t="e">
        <f t="shared" si="1"/>
        <v>#DIV/0!</v>
      </c>
      <c r="F42" s="46">
        <f>Details!W44</f>
        <v>0</v>
      </c>
      <c r="I42" s="3"/>
    </row>
    <row r="43" spans="1:9" ht="18.75">
      <c r="A43" s="284"/>
      <c r="B43" s="285" t="str">
        <f>Details!B45</f>
        <v>Property Committee</v>
      </c>
      <c r="C43" s="286">
        <f>Details!H45</f>
        <v>3000</v>
      </c>
      <c r="D43" s="287">
        <f>Details!T45</f>
        <v>6000</v>
      </c>
      <c r="E43" s="288">
        <f t="shared" si="1"/>
        <v>0.03</v>
      </c>
      <c r="F43" s="46">
        <f>Details!W45</f>
        <v>200000</v>
      </c>
      <c r="I43" s="3"/>
    </row>
    <row r="44" spans="1:9" ht="18.75">
      <c r="A44" s="284"/>
      <c r="B44" s="285" t="str">
        <f>Details!B46</f>
        <v>Personnel</v>
      </c>
      <c r="C44" s="286">
        <f>Details!H46</f>
        <v>0</v>
      </c>
      <c r="D44" s="287">
        <f>Details!T46</f>
        <v>0</v>
      </c>
      <c r="E44" s="288"/>
      <c r="F44" s="46">
        <f>Details!W46</f>
        <v>0</v>
      </c>
      <c r="I44" s="3"/>
    </row>
    <row r="45" spans="1:9" ht="18.75">
      <c r="A45" s="284"/>
      <c r="B45" s="285" t="str">
        <f>Details!B47</f>
        <v>Sanctuary supplies</v>
      </c>
      <c r="C45" s="286">
        <f>Details!H47</f>
        <v>0</v>
      </c>
      <c r="D45" s="287">
        <f>Details!T47</f>
        <v>75500</v>
      </c>
      <c r="E45" s="288">
        <f t="shared" si="1"/>
        <v>0.25166666666666665</v>
      </c>
      <c r="F45" s="46">
        <f>Details!W47</f>
        <v>300000</v>
      </c>
      <c r="I45" s="3"/>
    </row>
    <row r="46" spans="1:9" ht="18.75">
      <c r="A46" s="284"/>
      <c r="B46" s="285" t="str">
        <f>Details!B48</f>
        <v>Stewardship</v>
      </c>
      <c r="C46" s="286">
        <f>Details!H48</f>
        <v>0</v>
      </c>
      <c r="D46" s="287">
        <f>Details!T48</f>
        <v>0</v>
      </c>
      <c r="E46" s="288">
        <f t="shared" si="1"/>
        <v>0</v>
      </c>
      <c r="F46" s="46">
        <f>Details!W48</f>
        <v>10000</v>
      </c>
      <c r="I46" s="3"/>
    </row>
    <row r="47" spans="1:9" ht="18.75">
      <c r="A47" s="284"/>
      <c r="B47" s="285" t="str">
        <f>Details!B49</f>
        <v xml:space="preserve">Sunday School </v>
      </c>
      <c r="C47" s="286">
        <f>Details!H49</f>
        <v>0</v>
      </c>
      <c r="D47" s="287">
        <f>Details!T49</f>
        <v>31400</v>
      </c>
      <c r="E47" s="288">
        <f t="shared" si="1"/>
        <v>0.8306878306878307</v>
      </c>
      <c r="F47" s="46">
        <f>Details!W49</f>
        <v>37800</v>
      </c>
      <c r="I47" s="3"/>
    </row>
    <row r="48" spans="1:9" ht="18.75">
      <c r="A48" s="284"/>
      <c r="B48" s="285" t="str">
        <f>Details!B50</f>
        <v>Ushers Committee</v>
      </c>
      <c r="C48" s="286">
        <f>Details!H50</f>
        <v>0</v>
      </c>
      <c r="D48" s="287">
        <f>Details!T50</f>
        <v>2500</v>
      </c>
      <c r="E48" s="288">
        <f>D48/F48</f>
        <v>0.3125</v>
      </c>
      <c r="F48" s="46">
        <f>Details!W50</f>
        <v>8000</v>
      </c>
      <c r="I48" s="3"/>
    </row>
    <row r="49" spans="1:9" ht="18.75">
      <c r="A49" s="284"/>
      <c r="B49" s="285" t="str">
        <f>Details!B51</f>
        <v>Visitation Committee</v>
      </c>
      <c r="C49" s="286">
        <f>Details!H51</f>
        <v>1500</v>
      </c>
      <c r="D49" s="287">
        <f>Details!T51</f>
        <v>7500</v>
      </c>
      <c r="E49" s="288">
        <f t="shared" si="1"/>
        <v>0.46875</v>
      </c>
      <c r="F49" s="46">
        <f>Details!W51</f>
        <v>16000</v>
      </c>
      <c r="I49" s="3"/>
    </row>
    <row r="50" spans="1:9" ht="18.75">
      <c r="A50" s="284"/>
      <c r="B50" s="285" t="str">
        <f>Details!B52</f>
        <v>WMU</v>
      </c>
      <c r="C50" s="286">
        <f>Details!H52</f>
        <v>0</v>
      </c>
      <c r="D50" s="287">
        <f>Details!T52</f>
        <v>48000</v>
      </c>
      <c r="E50" s="288">
        <f t="shared" si="1"/>
        <v>0.59627329192546585</v>
      </c>
      <c r="F50" s="46">
        <f>Details!W52</f>
        <v>80500</v>
      </c>
      <c r="I50" s="3"/>
    </row>
    <row r="51" spans="1:9" ht="18.75">
      <c r="A51" s="284"/>
      <c r="B51" s="285" t="str">
        <f>Details!B53</f>
        <v>Youth Fellowship</v>
      </c>
      <c r="C51" s="286">
        <f>Details!H53</f>
        <v>0</v>
      </c>
      <c r="D51" s="287">
        <f>Details!T53</f>
        <v>94000</v>
      </c>
      <c r="E51" s="288">
        <f t="shared" si="1"/>
        <v>1.1325301204819278</v>
      </c>
      <c r="F51" s="46">
        <f>Details!W53</f>
        <v>83000</v>
      </c>
      <c r="I51" s="3"/>
    </row>
    <row r="52" spans="1:9" ht="14.25" customHeight="1">
      <c r="A52" s="284"/>
      <c r="B52" s="285"/>
      <c r="C52" s="286"/>
      <c r="D52" s="287"/>
      <c r="E52" s="305"/>
      <c r="F52" s="46"/>
      <c r="I52" s="3"/>
    </row>
    <row r="53" spans="1:9" ht="18.75" hidden="1">
      <c r="A53" s="284"/>
      <c r="B53" s="285" t="str">
        <f>Details!B55</f>
        <v>Suspense account</v>
      </c>
      <c r="C53" s="286"/>
      <c r="D53" s="287"/>
      <c r="E53" s="291"/>
      <c r="F53" s="46"/>
      <c r="I53" s="3"/>
    </row>
    <row r="54" spans="1:9" ht="18.75" hidden="1">
      <c r="A54" s="284"/>
      <c r="B54" s="285">
        <f>Details!B56</f>
        <v>0</v>
      </c>
      <c r="C54" s="286"/>
      <c r="D54" s="287"/>
      <c r="E54" s="288"/>
      <c r="F54" s="46"/>
      <c r="I54" s="3"/>
    </row>
    <row r="55" spans="1:9" s="9" customFormat="1" ht="18.75">
      <c r="A55" s="306"/>
      <c r="B55" s="300" t="str">
        <f>Details!B57</f>
        <v>B. CHURCH STAFF</v>
      </c>
      <c r="C55" s="290">
        <f>Details!H57</f>
        <v>204740.63</v>
      </c>
      <c r="D55" s="301">
        <f>Details!T57</f>
        <v>1295169.53</v>
      </c>
      <c r="E55" s="307">
        <f t="shared" ref="E55:E69" si="2">D55/F55</f>
        <v>0.44663907568641337</v>
      </c>
      <c r="F55" s="261">
        <f>Details!W57</f>
        <v>2899812.4</v>
      </c>
      <c r="I55" s="188"/>
    </row>
    <row r="56" spans="1:9" ht="18.75">
      <c r="A56" s="284"/>
      <c r="B56" s="285" t="str">
        <f>Details!B58</f>
        <v>Church Pastor (salaries and allowances)</v>
      </c>
      <c r="C56" s="286">
        <f>Details!H58</f>
        <v>99398.13</v>
      </c>
      <c r="D56" s="287">
        <f>Details!T58</f>
        <v>674440.77</v>
      </c>
      <c r="E56" s="288">
        <f t="shared" si="2"/>
        <v>0.41245127227746647</v>
      </c>
      <c r="F56" s="46">
        <f>Details!W58</f>
        <v>1635201.09</v>
      </c>
      <c r="I56" s="3"/>
    </row>
    <row r="57" spans="1:9" ht="18.75">
      <c r="A57" s="284"/>
      <c r="B57" s="285" t="str">
        <f>Details!B59</f>
        <v>Other Pastors</v>
      </c>
      <c r="C57" s="286">
        <f>Details!H59</f>
        <v>86878</v>
      </c>
      <c r="D57" s="287">
        <f>Details!T59</f>
        <v>418634</v>
      </c>
      <c r="E57" s="288">
        <f t="shared" si="2"/>
        <v>0.52991645569620249</v>
      </c>
      <c r="F57" s="46">
        <f>Details!W59</f>
        <v>790000</v>
      </c>
      <c r="I57" s="188"/>
    </row>
    <row r="58" spans="1:9" ht="18.75">
      <c r="A58" s="284"/>
      <c r="B58" s="285" t="str">
        <f>Details!B60</f>
        <v>Janitor</v>
      </c>
      <c r="C58" s="286">
        <f>Details!H60</f>
        <v>18464.5</v>
      </c>
      <c r="D58" s="287">
        <f>Details!T60</f>
        <v>202094.76</v>
      </c>
      <c r="E58" s="304">
        <f t="shared" si="2"/>
        <v>0.42581109160672975</v>
      </c>
      <c r="F58" s="46">
        <f>Details!W60</f>
        <v>474611.31</v>
      </c>
      <c r="I58" s="3"/>
    </row>
    <row r="59" spans="1:9" ht="18.75">
      <c r="A59" s="284"/>
      <c r="B59" s="285" t="str">
        <f>Details!B61</f>
        <v>Appreciation service for Pastor</v>
      </c>
      <c r="C59" s="286">
        <f>Details!H61</f>
        <v>0</v>
      </c>
      <c r="D59" s="287">
        <f>Details!T61</f>
        <v>0</v>
      </c>
      <c r="E59" s="304" t="e">
        <f>D59/F59</f>
        <v>#DIV/0!</v>
      </c>
      <c r="F59" s="46">
        <f>Details!W61</f>
        <v>0</v>
      </c>
      <c r="I59" s="3"/>
    </row>
    <row r="60" spans="1:9" s="9" customFormat="1" ht="18.75">
      <c r="A60" s="306"/>
      <c r="B60" s="300" t="str">
        <f>Details!B62</f>
        <v>C. OPERATION COSTS</v>
      </c>
      <c r="C60" s="290">
        <f>Details!H62</f>
        <v>91038.53</v>
      </c>
      <c r="D60" s="301">
        <f>Details!T62</f>
        <v>829740.71924999997</v>
      </c>
      <c r="E60" s="291">
        <f t="shared" si="2"/>
        <v>0.77647456414935423</v>
      </c>
      <c r="F60" s="261">
        <f>Details!W62</f>
        <v>1068600</v>
      </c>
      <c r="I60" s="188"/>
    </row>
    <row r="61" spans="1:9" ht="30" customHeight="1">
      <c r="A61" s="284"/>
      <c r="B61" s="302" t="str">
        <f>Details!B64</f>
        <v xml:space="preserve">Bank charges: sms, maintenance, VAT etc. </v>
      </c>
      <c r="C61" s="293">
        <f>Details!H64</f>
        <v>2028.5300000000002</v>
      </c>
      <c r="D61" s="303">
        <f>Details!T64</f>
        <v>15220.720000000001</v>
      </c>
      <c r="E61" s="304">
        <f t="shared" si="2"/>
        <v>0.69185090909090918</v>
      </c>
      <c r="F61" s="46">
        <f>Details!W64</f>
        <v>22000</v>
      </c>
      <c r="I61" s="3"/>
    </row>
    <row r="62" spans="1:9" ht="18.75">
      <c r="A62" s="284"/>
      <c r="B62" s="285" t="str">
        <f>Details!B65</f>
        <v>Church Council refreshments</v>
      </c>
      <c r="C62" s="286">
        <f>Details!H65</f>
        <v>2000</v>
      </c>
      <c r="D62" s="287">
        <f>Details!T65</f>
        <v>8000</v>
      </c>
      <c r="E62" s="288">
        <f t="shared" si="2"/>
        <v>0.33333333333333331</v>
      </c>
      <c r="F62" s="46">
        <f>Details!W65</f>
        <v>24000</v>
      </c>
      <c r="I62" s="3"/>
    </row>
    <row r="63" spans="1:9" ht="18.75">
      <c r="A63" s="284"/>
      <c r="B63" s="285" t="str">
        <f>Details!B66</f>
        <v>Church secreteriat</v>
      </c>
      <c r="C63" s="286">
        <f>Details!H66</f>
        <v>17810</v>
      </c>
      <c r="D63" s="287">
        <f>Details!T66</f>
        <v>55470</v>
      </c>
      <c r="E63" s="288">
        <f t="shared" si="2"/>
        <v>0.92449999999999999</v>
      </c>
      <c r="F63" s="46">
        <f>Details!W66</f>
        <v>60000</v>
      </c>
      <c r="I63" s="3"/>
    </row>
    <row r="64" spans="1:9" ht="18.75">
      <c r="A64" s="284"/>
      <c r="B64" s="285" t="str">
        <f>Details!B67</f>
        <v>Convention session</v>
      </c>
      <c r="C64" s="286">
        <f>Details!H67</f>
        <v>-9800</v>
      </c>
      <c r="D64" s="287">
        <f>Details!T67</f>
        <v>122500</v>
      </c>
      <c r="E64" s="288">
        <f t="shared" si="2"/>
        <v>6.125</v>
      </c>
      <c r="F64" s="46">
        <f>Details!W67</f>
        <v>20000</v>
      </c>
      <c r="I64" s="3"/>
    </row>
    <row r="65" spans="1:9" ht="18.75">
      <c r="A65" s="284"/>
      <c r="B65" s="285" t="str">
        <f>Details!B68</f>
        <v>Electricity - church auditorium</v>
      </c>
      <c r="C65" s="286">
        <f>Details!H68</f>
        <v>15000</v>
      </c>
      <c r="D65" s="287">
        <f>Details!T68</f>
        <v>20000</v>
      </c>
      <c r="E65" s="288">
        <f t="shared" si="2"/>
        <v>0.625</v>
      </c>
      <c r="F65" s="46">
        <f>Details!W68</f>
        <v>32000</v>
      </c>
      <c r="I65" s="3"/>
    </row>
    <row r="66" spans="1:9" ht="18.75">
      <c r="A66" s="284"/>
      <c r="B66" s="285" t="str">
        <f>Details!B69</f>
        <v>Electricity - Pastorium</v>
      </c>
      <c r="C66" s="286">
        <f>Details!H69</f>
        <v>0</v>
      </c>
      <c r="D66" s="287">
        <f>Details!T69</f>
        <v>10000</v>
      </c>
      <c r="E66" s="288">
        <f t="shared" si="2"/>
        <v>0.20833333333333334</v>
      </c>
      <c r="F66" s="46">
        <f>Details!W69</f>
        <v>48000</v>
      </c>
      <c r="I66" s="3"/>
    </row>
    <row r="67" spans="1:9" ht="37.5">
      <c r="A67" s="284"/>
      <c r="B67" s="302" t="str">
        <f>Details!B70</f>
        <v>Generators - fuel and maintenance church auditorium</v>
      </c>
      <c r="C67" s="293">
        <f>Details!H70</f>
        <v>34200</v>
      </c>
      <c r="D67" s="303">
        <f>Details!T70</f>
        <v>136849.99924999999</v>
      </c>
      <c r="E67" s="304">
        <f t="shared" si="2"/>
        <v>0.51479269803888994</v>
      </c>
      <c r="F67" s="46">
        <f>Details!W70</f>
        <v>265835.15999999997</v>
      </c>
      <c r="I67" s="3"/>
    </row>
    <row r="68" spans="1:9" ht="37.5">
      <c r="A68" s="284"/>
      <c r="B68" s="302" t="str">
        <f>Details!B71</f>
        <v>Generators - fuel and maintenance pastorium</v>
      </c>
      <c r="C68" s="293">
        <f>Details!H71</f>
        <v>19800</v>
      </c>
      <c r="D68" s="303">
        <f>Details!T71</f>
        <v>99900</v>
      </c>
      <c r="E68" s="304">
        <f t="shared" si="2"/>
        <v>0.90191075074003635</v>
      </c>
      <c r="F68" s="46">
        <f>Details!W71</f>
        <v>110764.84</v>
      </c>
      <c r="I68" s="3"/>
    </row>
    <row r="69" spans="1:9" ht="18.75" hidden="1">
      <c r="A69" s="284"/>
      <c r="B69" s="285" t="str">
        <f>Details!B72</f>
        <v>Keep fit instructor</v>
      </c>
      <c r="C69" s="286">
        <f>Details!H72</f>
        <v>0</v>
      </c>
      <c r="D69" s="287">
        <f>Details!T72</f>
        <v>0</v>
      </c>
      <c r="E69" s="304" t="e">
        <f t="shared" si="2"/>
        <v>#DIV/0!</v>
      </c>
      <c r="F69" s="46">
        <f>Details!W72</f>
        <v>0</v>
      </c>
      <c r="I69" s="3"/>
    </row>
    <row r="70" spans="1:9" ht="18.75">
      <c r="A70" s="284"/>
      <c r="B70" s="285" t="str">
        <f>Details!B73</f>
        <v xml:space="preserve">Ministers' Conference </v>
      </c>
      <c r="C70" s="286">
        <f>Details!H73</f>
        <v>0</v>
      </c>
      <c r="D70" s="287">
        <f>Details!T73</f>
        <v>0</v>
      </c>
      <c r="E70" s="288"/>
      <c r="F70" s="46">
        <f>Details!W73</f>
        <v>6000</v>
      </c>
      <c r="I70" s="3"/>
    </row>
    <row r="71" spans="1:9" ht="37.5">
      <c r="A71" s="284"/>
      <c r="B71" s="302" t="str">
        <f>Details!B74</f>
        <v>Miscellanous (transport for CAN Minister, honorarium for supervisor)</v>
      </c>
      <c r="C71" s="293">
        <f>Details!H74</f>
        <v>10000</v>
      </c>
      <c r="D71" s="303">
        <f>Details!T74</f>
        <v>18000</v>
      </c>
      <c r="E71" s="304">
        <f>D71/F71</f>
        <v>0.36</v>
      </c>
      <c r="F71" s="46">
        <f>Details!W74</f>
        <v>50000</v>
      </c>
      <c r="I71" s="3"/>
    </row>
    <row r="72" spans="1:9" ht="18.75">
      <c r="A72" s="284"/>
      <c r="B72" s="285" t="str">
        <f>Details!B75</f>
        <v>Motorcycle</v>
      </c>
      <c r="C72" s="286">
        <f>Details!H75</f>
        <v>0</v>
      </c>
      <c r="D72" s="287">
        <f>Details!T75</f>
        <v>3800</v>
      </c>
      <c r="E72" s="288">
        <f>D72/F72</f>
        <v>0.15833333333333333</v>
      </c>
      <c r="F72" s="46">
        <v>24000</v>
      </c>
      <c r="I72" s="3"/>
    </row>
    <row r="73" spans="1:9" ht="18.75">
      <c r="A73" s="284"/>
      <c r="B73" s="285" t="str">
        <f>Details!B76</f>
        <v>Ogbomoso Conference</v>
      </c>
      <c r="C73" s="286">
        <f>Details!H76</f>
        <v>0</v>
      </c>
      <c r="D73" s="287">
        <f>Details!T76</f>
        <v>0</v>
      </c>
      <c r="E73" s="288">
        <f>D73/F73</f>
        <v>0</v>
      </c>
      <c r="F73" s="46">
        <f>Details!W76</f>
        <v>25000</v>
      </c>
      <c r="I73" s="3"/>
    </row>
    <row r="74" spans="1:9" ht="18.75">
      <c r="A74" s="284"/>
      <c r="B74" s="285" t="str">
        <f>Details!B77</f>
        <v xml:space="preserve">Pastorium rent &amp; maintenance </v>
      </c>
      <c r="C74" s="286">
        <f>Details!H77</f>
        <v>0</v>
      </c>
      <c r="D74" s="287">
        <f>Details!T77</f>
        <v>0</v>
      </c>
      <c r="E74" s="288">
        <f t="shared" ref="E74:E95" si="3">D74/F74</f>
        <v>0</v>
      </c>
      <c r="F74" s="46">
        <f>Details!W77</f>
        <v>150000</v>
      </c>
      <c r="I74" s="3"/>
    </row>
    <row r="75" spans="1:9" ht="18.75">
      <c r="A75" s="284"/>
      <c r="B75" s="285" t="str">
        <f>Details!B78</f>
        <v>Pastors Wives' retreat</v>
      </c>
      <c r="C75" s="286">
        <f>Details!H78</f>
        <v>0</v>
      </c>
      <c r="D75" s="287">
        <f>Details!T78</f>
        <v>0</v>
      </c>
      <c r="E75" s="288">
        <f t="shared" si="3"/>
        <v>0</v>
      </c>
      <c r="F75" s="46">
        <f>Details!W78</f>
        <v>5000</v>
      </c>
      <c r="I75" s="3"/>
    </row>
    <row r="76" spans="1:9" ht="18.75">
      <c r="A76" s="284"/>
      <c r="B76" s="312" t="str">
        <f>Details!B79</f>
        <v>Workers' retreat organized by the church</v>
      </c>
      <c r="C76" s="293">
        <f>Details!H79</f>
        <v>0</v>
      </c>
      <c r="D76" s="303">
        <f>Details!T79</f>
        <v>40000</v>
      </c>
      <c r="E76" s="304"/>
      <c r="F76" s="46">
        <f>Details!W79</f>
        <v>50000</v>
      </c>
      <c r="I76" s="3"/>
    </row>
    <row r="77" spans="1:9" ht="18.75">
      <c r="A77" s="284"/>
      <c r="B77" s="285">
        <f>Details!B80</f>
        <v>0</v>
      </c>
      <c r="C77" s="286">
        <f>Details!H80</f>
        <v>0</v>
      </c>
      <c r="D77" s="287">
        <f>Details!T80</f>
        <v>0</v>
      </c>
      <c r="E77" s="288" t="e">
        <f t="shared" si="3"/>
        <v>#DIV/0!</v>
      </c>
      <c r="F77" s="46">
        <f>Details!W80</f>
        <v>0</v>
      </c>
      <c r="I77" s="3"/>
    </row>
    <row r="78" spans="1:9" s="9" customFormat="1" ht="18.75">
      <c r="A78" s="306"/>
      <c r="B78" s="300" t="str">
        <f>Details!B81</f>
        <v>D. NEW AUDITORIUM &amp; OTHER PROJECTS</v>
      </c>
      <c r="C78" s="290">
        <f>Details!H81</f>
        <v>230248</v>
      </c>
      <c r="D78" s="301">
        <f>Details!T81</f>
        <v>3642996.88</v>
      </c>
      <c r="E78" s="291">
        <f t="shared" si="3"/>
        <v>0.87740772639691711</v>
      </c>
      <c r="F78" s="261">
        <f>Details!W81</f>
        <v>4152000</v>
      </c>
      <c r="I78" s="188"/>
    </row>
    <row r="79" spans="1:9" ht="18.75">
      <c r="A79" s="284"/>
      <c r="B79" s="285" t="str">
        <f>Details!B82</f>
        <v>Bank charges - Access bank</v>
      </c>
      <c r="C79" s="286">
        <f>Details!H82</f>
        <v>248</v>
      </c>
      <c r="D79" s="287">
        <f>Details!T82</f>
        <v>4666.88</v>
      </c>
      <c r="E79" s="288">
        <f t="shared" si="3"/>
        <v>2.33344</v>
      </c>
      <c r="F79" s="46">
        <f>Details!W82</f>
        <v>2000</v>
      </c>
      <c r="I79" s="3"/>
    </row>
    <row r="80" spans="1:9" ht="18.75" hidden="1">
      <c r="A80" s="284"/>
      <c r="B80" s="285" t="str">
        <f>Details!B83</f>
        <v>Borehole</v>
      </c>
      <c r="C80" s="286">
        <f>Details!H83</f>
        <v>0</v>
      </c>
      <c r="D80" s="287">
        <f>Details!T83</f>
        <v>561230</v>
      </c>
      <c r="E80" s="288"/>
      <c r="F80" s="46">
        <f>Details!W83</f>
        <v>650000</v>
      </c>
      <c r="I80" s="3"/>
    </row>
    <row r="81" spans="1:12" ht="18.75" hidden="1">
      <c r="A81" s="284"/>
      <c r="B81" s="285" t="str">
        <f>Details!B84</f>
        <v>Development loan refund</v>
      </c>
      <c r="C81" s="286">
        <f>Details!H84</f>
        <v>0</v>
      </c>
      <c r="D81" s="287">
        <f>Details!T84</f>
        <v>0</v>
      </c>
      <c r="E81" s="288" t="e">
        <f t="shared" si="3"/>
        <v>#DIV/0!</v>
      </c>
      <c r="F81" s="46">
        <f>Details!W84</f>
        <v>0</v>
      </c>
      <c r="I81" s="3"/>
    </row>
    <row r="82" spans="1:12" ht="18.75" hidden="1">
      <c r="A82" s="284"/>
      <c r="B82" s="285" t="str">
        <f>Details!B85</f>
        <v>Gift-in-kind towards church auditorium</v>
      </c>
      <c r="C82" s="286">
        <f>Details!H85</f>
        <v>0</v>
      </c>
      <c r="D82" s="287">
        <f>Details!T85</f>
        <v>20800</v>
      </c>
      <c r="E82" s="288" t="e">
        <f t="shared" si="3"/>
        <v>#DIV/0!</v>
      </c>
      <c r="F82" s="46">
        <f>Details!W85</f>
        <v>0</v>
      </c>
      <c r="I82" s="3"/>
    </row>
    <row r="83" spans="1:12" ht="18.75">
      <c r="A83" s="284"/>
      <c r="B83" s="285" t="str">
        <f>Details!B86</f>
        <v>New  auditorium - block work, columns and roof beam</v>
      </c>
      <c r="C83" s="286">
        <f>Details!H86</f>
        <v>230000</v>
      </c>
      <c r="D83" s="287">
        <f>Details!T86</f>
        <v>3056300</v>
      </c>
      <c r="E83" s="288">
        <f t="shared" si="3"/>
        <v>0.87322857142857147</v>
      </c>
      <c r="F83" s="46">
        <f>Details!W86</f>
        <v>3500000</v>
      </c>
      <c r="I83" s="3"/>
    </row>
    <row r="84" spans="1:12" ht="18.75" hidden="1">
      <c r="A84" s="284"/>
      <c r="B84" s="285" t="str">
        <f>Details!B87</f>
        <v>Erection of new sign posts</v>
      </c>
      <c r="C84" s="286">
        <f>Details!H87</f>
        <v>0</v>
      </c>
      <c r="D84" s="287">
        <f>Details!T87</f>
        <v>0</v>
      </c>
      <c r="E84" s="288" t="e">
        <f t="shared" si="3"/>
        <v>#DIV/0!</v>
      </c>
      <c r="F84" s="46">
        <f>Details!W87</f>
        <v>0</v>
      </c>
      <c r="I84" s="3"/>
    </row>
    <row r="85" spans="1:12" ht="18.75">
      <c r="A85" s="284"/>
      <c r="B85" s="285"/>
      <c r="C85" s="286"/>
      <c r="D85" s="287"/>
      <c r="E85" s="288"/>
      <c r="F85" s="46">
        <f>Details!W88</f>
        <v>0</v>
      </c>
      <c r="I85" s="3"/>
    </row>
    <row r="86" spans="1:12" s="9" customFormat="1" ht="18.75">
      <c r="A86" s="306"/>
      <c r="B86" s="300" t="str">
        <f>Details!B89</f>
        <v>E. COOPERATIVE FUNDS</v>
      </c>
      <c r="C86" s="290">
        <f>Details!H89</f>
        <v>96146.5</v>
      </c>
      <c r="D86" s="301">
        <f>Details!T89</f>
        <v>918475.7</v>
      </c>
      <c r="E86" s="291">
        <f t="shared" si="3"/>
        <v>0.37937864518793885</v>
      </c>
      <c r="F86" s="261">
        <f>Details!W89</f>
        <v>2421000</v>
      </c>
      <c r="I86" s="188"/>
    </row>
    <row r="87" spans="1:12" ht="37.5">
      <c r="A87" s="284"/>
      <c r="B87" s="302" t="str">
        <f>Details!B90</f>
        <v>Association contributions - 3% of tithes &amp; SS, thanksgiving and general offerings</v>
      </c>
      <c r="C87" s="286">
        <f>Details!H90</f>
        <v>28843.95</v>
      </c>
      <c r="D87" s="287">
        <f>Details!T90</f>
        <v>91847.51999999999</v>
      </c>
      <c r="E87" s="288">
        <f t="shared" si="3"/>
        <v>0.37937843866171</v>
      </c>
      <c r="F87" s="46">
        <f>Details!W90</f>
        <v>242100</v>
      </c>
      <c r="I87" s="3"/>
    </row>
    <row r="88" spans="1:12" ht="37.5">
      <c r="A88" s="284"/>
      <c r="B88" s="302" t="str">
        <f>Details!B91</f>
        <v>Conference contributions - 7% of tithes &amp;  SS, thanksgiving and general offerings</v>
      </c>
      <c r="C88" s="286">
        <f>Details!H91</f>
        <v>67302.55</v>
      </c>
      <c r="D88" s="287">
        <f>Details!T91</f>
        <v>214310.88</v>
      </c>
      <c r="E88" s="288">
        <f t="shared" si="3"/>
        <v>0.40782279733587062</v>
      </c>
      <c r="F88" s="46">
        <v>525500</v>
      </c>
      <c r="I88" s="3"/>
      <c r="J88">
        <f>225000*7/3</f>
        <v>525000</v>
      </c>
    </row>
    <row r="89" spans="1:12" ht="37.5">
      <c r="A89" s="284"/>
      <c r="B89" s="302" t="str">
        <f>Details!B92</f>
        <v>Convention contributions - 20% of tithes &amp; SS, thanksgiving and general  offerings</v>
      </c>
      <c r="C89" s="286">
        <f>Details!H92</f>
        <v>0</v>
      </c>
      <c r="D89" s="287">
        <f>Details!T92</f>
        <v>612317.30000000005</v>
      </c>
      <c r="E89" s="288">
        <f t="shared" si="3"/>
        <v>0.37937874845105329</v>
      </c>
      <c r="F89" s="46">
        <f>Details!W92</f>
        <v>1614000</v>
      </c>
      <c r="I89" s="3"/>
    </row>
    <row r="90" spans="1:12" ht="18.75">
      <c r="A90" s="284"/>
      <c r="B90" s="285"/>
      <c r="C90" s="286"/>
      <c r="D90" s="287"/>
      <c r="E90" s="288"/>
      <c r="F90" s="46">
        <f>Details!W93</f>
        <v>0</v>
      </c>
      <c r="I90" s="3"/>
    </row>
    <row r="91" spans="1:12" s="9" customFormat="1" ht="18.75">
      <c r="A91" s="306"/>
      <c r="B91" s="300" t="str">
        <f>Details!B94</f>
        <v>F. DESIGNATED SAVINGS</v>
      </c>
      <c r="C91" s="290">
        <f>Details!H94</f>
        <v>100000</v>
      </c>
      <c r="D91" s="301">
        <f>Details!T94</f>
        <v>0</v>
      </c>
      <c r="E91" s="291"/>
      <c r="F91" s="261">
        <f>Details!W94</f>
        <v>480000</v>
      </c>
      <c r="I91" s="188"/>
    </row>
    <row r="92" spans="1:12" ht="18.75">
      <c r="A92" s="284"/>
      <c r="B92" s="285" t="str">
        <f>Details!B95</f>
        <v>Pastorium (rent, development of land etc.)</v>
      </c>
      <c r="C92" s="286">
        <f>Details!H95</f>
        <v>0</v>
      </c>
      <c r="D92" s="287">
        <f>Details!T95</f>
        <v>0</v>
      </c>
      <c r="E92" s="288"/>
      <c r="F92" s="46">
        <f>Details!W95</f>
        <v>0</v>
      </c>
      <c r="I92" s="3"/>
    </row>
    <row r="93" spans="1:12" ht="21.75" customHeight="1">
      <c r="A93" s="284"/>
      <c r="B93" s="285" t="str">
        <f>Details!B96</f>
        <v>New auditorium</v>
      </c>
      <c r="C93" s="286">
        <f>Details!H96</f>
        <v>100000</v>
      </c>
      <c r="D93" s="287">
        <f>Details!T96</f>
        <v>0</v>
      </c>
      <c r="E93" s="288"/>
      <c r="F93" s="46">
        <f>Details!W96</f>
        <v>0</v>
      </c>
      <c r="I93" s="3"/>
    </row>
    <row r="94" spans="1:12" ht="18.75">
      <c r="A94" s="284"/>
      <c r="B94" s="285"/>
      <c r="C94" s="286"/>
      <c r="D94" s="287"/>
      <c r="E94" s="288"/>
      <c r="F94" s="46">
        <f>Details!W97</f>
        <v>480000</v>
      </c>
      <c r="I94" s="3"/>
      <c r="J94" s="2"/>
    </row>
    <row r="95" spans="1:12" s="9" customFormat="1" ht="18.75">
      <c r="A95" s="306"/>
      <c r="B95" s="300" t="str">
        <f>Details!B98</f>
        <v>Total Expenditure</v>
      </c>
      <c r="C95" s="290">
        <f>Details!H98</f>
        <v>807413.66</v>
      </c>
      <c r="D95" s="301">
        <f>Details!T98</f>
        <v>7702532.8292500004</v>
      </c>
      <c r="E95" s="291">
        <f t="shared" si="3"/>
        <v>0.54884751485968475</v>
      </c>
      <c r="F95" s="261">
        <f>Details!W98</f>
        <v>14034012.4</v>
      </c>
      <c r="I95" s="188"/>
    </row>
    <row r="96" spans="1:12" s="9" customFormat="1" ht="37.5">
      <c r="A96" s="306"/>
      <c r="B96" s="296" t="str">
        <f>Details!B99</f>
        <v>Balances in the church's accounts plus imprest account</v>
      </c>
      <c r="C96" s="298">
        <f>Details!H99</f>
        <v>828206.51</v>
      </c>
      <c r="D96" s="303">
        <f>C96</f>
        <v>828206.51</v>
      </c>
      <c r="E96" s="291"/>
      <c r="F96" s="261"/>
      <c r="I96" s="188"/>
      <c r="K96" s="195"/>
      <c r="L96" s="188"/>
    </row>
    <row r="97" spans="1:9" ht="18.75">
      <c r="A97" s="284"/>
      <c r="B97" s="285" t="str">
        <f>Details!B100</f>
        <v>First Bank of Nigeria</v>
      </c>
      <c r="C97" s="293">
        <f>Details!H100</f>
        <v>240423.21</v>
      </c>
      <c r="D97" s="287">
        <f t="shared" ref="D97:D104" si="4">C97</f>
        <v>240423.21</v>
      </c>
      <c r="E97" s="304"/>
      <c r="F97" s="46"/>
      <c r="I97" s="3"/>
    </row>
    <row r="98" spans="1:9" ht="19.5" customHeight="1">
      <c r="A98" s="284"/>
      <c r="B98" s="285" t="str">
        <f>Details!B101</f>
        <v>Add Cash/Cheque in-transit - FBN</v>
      </c>
      <c r="C98" s="293">
        <f>Details!H101</f>
        <v>0</v>
      </c>
      <c r="D98" s="287">
        <f t="shared" si="4"/>
        <v>0</v>
      </c>
      <c r="E98" s="304"/>
      <c r="F98" s="46"/>
      <c r="I98" s="3"/>
    </row>
    <row r="99" spans="1:9" ht="18.75">
      <c r="A99" s="284"/>
      <c r="B99" s="285" t="str">
        <f>Details!B102</f>
        <v>Less Unpresented cheques - FBN</v>
      </c>
      <c r="C99" s="286">
        <f>Details!H102</f>
        <v>0</v>
      </c>
      <c r="D99" s="287">
        <f t="shared" si="4"/>
        <v>0</v>
      </c>
      <c r="E99" s="308"/>
      <c r="F99" s="46"/>
    </row>
    <row r="100" spans="1:9" ht="18.75">
      <c r="A100" s="284"/>
      <c r="B100" s="285" t="str">
        <f>Details!B103</f>
        <v>Randalpha MFB</v>
      </c>
      <c r="C100" s="286">
        <f>Details!H103</f>
        <v>95529.11</v>
      </c>
      <c r="D100" s="287">
        <f t="shared" si="4"/>
        <v>95529.11</v>
      </c>
      <c r="E100" s="308"/>
      <c r="F100" s="46"/>
    </row>
    <row r="101" spans="1:9" ht="18.75">
      <c r="A101" s="284"/>
      <c r="B101" s="285" t="str">
        <f>Details!B104</f>
        <v>Access Bank</v>
      </c>
      <c r="C101" s="286">
        <f>Details!H104</f>
        <v>492254.19</v>
      </c>
      <c r="D101" s="287">
        <f t="shared" si="4"/>
        <v>492254.19</v>
      </c>
      <c r="E101" s="308"/>
      <c r="F101" s="46"/>
    </row>
    <row r="102" spans="1:9" ht="18.75">
      <c r="A102" s="284"/>
      <c r="B102" s="285" t="str">
        <f>Details!B105</f>
        <v>Add Cash/Cheque in-transit - Access Bank</v>
      </c>
      <c r="C102" s="286">
        <f>Details!H105</f>
        <v>0</v>
      </c>
      <c r="D102" s="287">
        <f t="shared" si="4"/>
        <v>0</v>
      </c>
      <c r="E102" s="308"/>
      <c r="F102" s="46"/>
    </row>
    <row r="103" spans="1:9" ht="18.75">
      <c r="A103" s="284"/>
      <c r="B103" s="285" t="str">
        <f>Details!B106</f>
        <v>Less Uncleared cheque - Access Bank</v>
      </c>
      <c r="C103" s="286">
        <f>Details!H106</f>
        <v>0</v>
      </c>
      <c r="D103" s="287">
        <f t="shared" si="4"/>
        <v>0</v>
      </c>
      <c r="E103" s="308"/>
      <c r="F103" s="46"/>
    </row>
    <row r="104" spans="1:9" ht="18.75">
      <c r="A104" s="284"/>
      <c r="B104" s="285" t="str">
        <f>Details!B107</f>
        <v>Imprest account (cash on hand)</v>
      </c>
      <c r="C104" s="286">
        <f>Details!H107</f>
        <v>0</v>
      </c>
      <c r="D104" s="287">
        <f t="shared" si="4"/>
        <v>0</v>
      </c>
      <c r="E104" s="308"/>
      <c r="F104" s="46"/>
    </row>
    <row r="105" spans="1:9" s="9" customFormat="1" ht="18.75">
      <c r="A105" s="306"/>
      <c r="B105" s="300" t="str">
        <f>Details!B108</f>
        <v>CONSOLIDATED INCOME &amp; EXPENDITURE REPORT</v>
      </c>
      <c r="C105" s="290"/>
      <c r="D105" s="301"/>
      <c r="E105" s="309"/>
      <c r="F105" s="261">
        <f>Details!W108</f>
        <v>0</v>
      </c>
    </row>
    <row r="106" spans="1:9" ht="37.5">
      <c r="A106" s="284"/>
      <c r="B106" s="296" t="str">
        <f>Details!B109</f>
        <v>Income from all sources, including B/F from 2020</v>
      </c>
      <c r="C106" s="290">
        <f>Details!H109</f>
        <v>1535620.17</v>
      </c>
      <c r="D106" s="301">
        <f>C106+Apr!D106</f>
        <v>1535620.17</v>
      </c>
      <c r="E106" s="317">
        <f>D106/F106</f>
        <v>0.12294232735967778</v>
      </c>
      <c r="F106" s="46">
        <f>Details!W109</f>
        <v>12490573.450000001</v>
      </c>
    </row>
    <row r="107" spans="1:9" ht="18.75">
      <c r="A107" s="284"/>
      <c r="B107" s="300" t="str">
        <f>Details!B110</f>
        <v>Total expenditure on new auditorium</v>
      </c>
      <c r="C107" s="290">
        <f>Details!H110</f>
        <v>230248</v>
      </c>
      <c r="D107" s="301">
        <f>C107+Apr!D107</f>
        <v>230248</v>
      </c>
      <c r="E107" s="317">
        <f>D107/F107</f>
        <v>6.5747572815533978E-2</v>
      </c>
      <c r="F107" s="46">
        <f>Details!W110</f>
        <v>3502000</v>
      </c>
    </row>
    <row r="108" spans="1:9" ht="37.5">
      <c r="A108" s="284"/>
      <c r="B108" s="296" t="str">
        <f>Details!B111</f>
        <v>General expenditure including amount transferred to building fund</v>
      </c>
      <c r="C108" s="290">
        <f>Details!H111</f>
        <v>577165.66</v>
      </c>
      <c r="D108" s="301">
        <f>C108+Apr!D108</f>
        <v>577165.66</v>
      </c>
      <c r="E108" s="317">
        <f>D108/F108</f>
        <v>4.1126204220825684E-2</v>
      </c>
      <c r="F108" s="46">
        <f>Details!W111</f>
        <v>14034012.4</v>
      </c>
    </row>
    <row r="109" spans="1:9" ht="38.25" thickBot="1">
      <c r="A109" s="310"/>
      <c r="B109" s="313" t="str">
        <f>Details!B112</f>
        <v>Total expenditure: new auditorium &amp; general</v>
      </c>
      <c r="C109" s="314">
        <f>Details!H112</f>
        <v>807413.66</v>
      </c>
      <c r="D109" s="301">
        <f>C109+Apr!D109</f>
        <v>6841717.21</v>
      </c>
      <c r="E109" s="318">
        <f>D109/F109</f>
        <v>0.48750970249962156</v>
      </c>
      <c r="F109" s="46">
        <f>Details!W112</f>
        <v>14034012.4</v>
      </c>
    </row>
    <row r="110" spans="1:9" ht="16.5" thickTop="1">
      <c r="B110" s="28" t="str">
        <f>Details!B113</f>
        <v>Control</v>
      </c>
      <c r="C110" s="258">
        <f>Details!H113</f>
        <v>-100000.00000000012</v>
      </c>
      <c r="D110" s="259">
        <f>C110+Mar!D109</f>
        <v>4699570.6100000003</v>
      </c>
    </row>
  </sheetData>
  <mergeCells count="3">
    <mergeCell ref="A1:D1"/>
    <mergeCell ref="A2:D2"/>
    <mergeCell ref="A3:D3"/>
  </mergeCells>
  <pageMargins left="0.7" right="0.7" top="0.75" bottom="0.75" header="0.3" footer="0.3"/>
  <pageSetup paperSize="9" scale="61" fitToHeight="2" orientation="portrait" horizontalDpi="300" verticalDpi="300" r:id="rId1"/>
  <headerFooter>
    <oddFooter>&amp;R&amp;P</oddFooter>
  </headerFooter>
  <rowBreaks count="1" manualBreakCount="1">
    <brk id="59" max="3" man="1"/>
  </rowBreaks>
</worksheet>
</file>

<file path=xl/worksheets/sheet12.xml><?xml version="1.0" encoding="utf-8"?>
<worksheet xmlns="http://schemas.openxmlformats.org/spreadsheetml/2006/main" xmlns:r="http://schemas.openxmlformats.org/officeDocument/2006/relationships">
  <dimension ref="A1:I113"/>
  <sheetViews>
    <sheetView view="pageBreakPreview" zoomScale="90" zoomScaleSheetLayoutView="90" workbookViewId="0">
      <selection sqref="A1:XFD1048576"/>
    </sheetView>
  </sheetViews>
  <sheetFormatPr defaultRowHeight="15"/>
  <cols>
    <col min="1" max="1" width="8.28515625" customWidth="1"/>
    <col min="2" max="2" width="52.28515625" customWidth="1"/>
    <col min="3" max="3" width="20.7109375" customWidth="1"/>
    <col min="4" max="4" width="23.42578125" customWidth="1"/>
    <col min="5" max="5" width="20.140625" customWidth="1"/>
    <col min="6" max="6" width="24" customWidth="1"/>
    <col min="7" max="7" width="15.140625" bestFit="1" customWidth="1"/>
    <col min="8" max="8" width="14.140625" bestFit="1" customWidth="1"/>
    <col min="9" max="9" width="14.5703125" customWidth="1"/>
  </cols>
  <sheetData>
    <row r="1" spans="1:7" ht="18" thickTop="1">
      <c r="A1" s="735" t="s">
        <v>30</v>
      </c>
      <c r="B1" s="736"/>
      <c r="C1" s="736"/>
      <c r="D1" s="736"/>
      <c r="E1" s="460"/>
    </row>
    <row r="2" spans="1:7" ht="17.25">
      <c r="A2" s="738" t="s">
        <v>210</v>
      </c>
      <c r="B2" s="739"/>
      <c r="C2" s="739"/>
      <c r="D2" s="739"/>
      <c r="E2" s="461"/>
    </row>
    <row r="3" spans="1:7" ht="17.25">
      <c r="A3" s="738" t="s">
        <v>235</v>
      </c>
      <c r="B3" s="739"/>
      <c r="C3" s="739"/>
      <c r="D3" s="739"/>
      <c r="E3" s="461"/>
    </row>
    <row r="4" spans="1:7" ht="19.5" thickBot="1">
      <c r="A4" s="18"/>
      <c r="B4" s="502" t="s">
        <v>40</v>
      </c>
      <c r="C4" s="3"/>
      <c r="E4" s="90"/>
    </row>
    <row r="5" spans="1:7" ht="39" customHeight="1" thickTop="1">
      <c r="A5" s="280" t="s">
        <v>43</v>
      </c>
      <c r="B5" s="281"/>
      <c r="C5" s="152" t="s">
        <v>236</v>
      </c>
      <c r="D5" s="153" t="s">
        <v>41</v>
      </c>
      <c r="E5" s="154" t="s">
        <v>68</v>
      </c>
      <c r="F5" s="38" t="s">
        <v>69</v>
      </c>
    </row>
    <row r="6" spans="1:7" ht="18.75">
      <c r="A6" s="284"/>
      <c r="B6" s="285" t="str">
        <f>Details!B6</f>
        <v>Bank interest</v>
      </c>
      <c r="C6" s="142">
        <f>Details!I6</f>
        <v>103.37</v>
      </c>
      <c r="D6" s="143">
        <f>Details!T6</f>
        <v>528.69999999999993</v>
      </c>
      <c r="E6" s="319">
        <f t="shared" ref="E6:E70" si="0">D6/F6</f>
        <v>0.88116666666666654</v>
      </c>
      <c r="F6" s="46">
        <f>Details!W6</f>
        <v>600</v>
      </c>
      <c r="G6" s="3"/>
    </row>
    <row r="7" spans="1:7" ht="18.75">
      <c r="A7" s="284"/>
      <c r="B7" s="285" t="str">
        <f>Details!B7</f>
        <v>Benevolence</v>
      </c>
      <c r="C7" s="142">
        <f>Details!I7</f>
        <v>23160</v>
      </c>
      <c r="D7" s="143">
        <f>Details!T7</f>
        <v>121770</v>
      </c>
      <c r="E7" s="319">
        <f t="shared" si="0"/>
        <v>0.81179999999999997</v>
      </c>
      <c r="F7" s="46">
        <f>Details!W7</f>
        <v>150000</v>
      </c>
      <c r="G7" s="3"/>
    </row>
    <row r="8" spans="1:7" ht="18.75">
      <c r="A8" s="284"/>
      <c r="B8" s="285" t="str">
        <f>Details!B8</f>
        <v>Building (cash and kind)</v>
      </c>
      <c r="C8" s="142">
        <f>Details!I8</f>
        <v>270000</v>
      </c>
      <c r="D8" s="143">
        <f>Details!T8</f>
        <v>943800</v>
      </c>
      <c r="E8" s="319">
        <f t="shared" si="0"/>
        <v>0.47189999999999999</v>
      </c>
      <c r="F8" s="46">
        <f>Details!W8</f>
        <v>2000000</v>
      </c>
      <c r="G8" s="3"/>
    </row>
    <row r="9" spans="1:7" ht="18.75">
      <c r="A9" s="284"/>
      <c r="B9" s="285" t="str">
        <f>Details!B9</f>
        <v>Designated offering towards borehole</v>
      </c>
      <c r="C9" s="142">
        <f>Details!I9</f>
        <v>0</v>
      </c>
      <c r="D9" s="143">
        <f>Details!T9</f>
        <v>418000</v>
      </c>
      <c r="E9" s="319"/>
      <c r="F9" s="46">
        <f>Details!W9</f>
        <v>100000</v>
      </c>
      <c r="G9" s="3"/>
    </row>
    <row r="10" spans="1:7" ht="18.75" hidden="1">
      <c r="A10" s="284"/>
      <c r="B10" s="285" t="str">
        <f>Details!B10</f>
        <v>Designated offering towards Praise Festival</v>
      </c>
      <c r="C10" s="142">
        <f>Details!I10</f>
        <v>0</v>
      </c>
      <c r="D10" s="143">
        <f>Details!T10</f>
        <v>0</v>
      </c>
      <c r="E10" s="319"/>
      <c r="F10" s="46">
        <f>Details!W10</f>
        <v>0</v>
      </c>
      <c r="G10" s="3"/>
    </row>
    <row r="11" spans="1:7" ht="18.75" hidden="1">
      <c r="A11" s="284"/>
      <c r="B11" s="285" t="str">
        <f>Details!B11</f>
        <v>Foreign Mission offering</v>
      </c>
      <c r="C11" s="142">
        <f>Details!I11</f>
        <v>0</v>
      </c>
      <c r="D11" s="143">
        <f>Details!T11</f>
        <v>0</v>
      </c>
      <c r="E11" s="319"/>
      <c r="F11" s="46">
        <f>Details!W11</f>
        <v>0</v>
      </c>
      <c r="G11" s="3"/>
    </row>
    <row r="12" spans="1:7" ht="18.75" hidden="1">
      <c r="A12" s="289"/>
      <c r="B12" s="285" t="str">
        <f>Details!B12</f>
        <v>Home Mission offering</v>
      </c>
      <c r="C12" s="142">
        <f>Details!I12</f>
        <v>0</v>
      </c>
      <c r="D12" s="143">
        <f>Details!T12</f>
        <v>100000</v>
      </c>
      <c r="E12" s="319"/>
      <c r="F12" s="46">
        <f>Details!W12</f>
        <v>300000</v>
      </c>
      <c r="G12" s="3"/>
    </row>
    <row r="13" spans="1:7" ht="18.75">
      <c r="A13" s="284"/>
      <c r="B13" s="285" t="str">
        <f>Details!B14</f>
        <v>Designated - Teenagers' Church</v>
      </c>
      <c r="C13" s="142">
        <f>Details!I14</f>
        <v>0</v>
      </c>
      <c r="D13" s="143">
        <f>Details!T14</f>
        <v>0</v>
      </c>
      <c r="E13" s="319"/>
      <c r="F13" s="46">
        <f>Details!W14</f>
        <v>50000</v>
      </c>
      <c r="G13" s="3"/>
    </row>
    <row r="14" spans="1:7" ht="18.75">
      <c r="A14" s="289"/>
      <c r="B14" s="285" t="str">
        <f>Details!B15</f>
        <v>Offering</v>
      </c>
      <c r="C14" s="142">
        <f>Details!I15</f>
        <v>100665</v>
      </c>
      <c r="D14" s="143">
        <f>Details!T15</f>
        <v>598815</v>
      </c>
      <c r="E14" s="319">
        <f t="shared" si="0"/>
        <v>0.59881499999999999</v>
      </c>
      <c r="F14" s="46">
        <f>Details!W15</f>
        <v>1000000</v>
      </c>
      <c r="G14" s="3"/>
    </row>
    <row r="15" spans="1:7" ht="18.75">
      <c r="A15" s="284"/>
      <c r="B15" s="285" t="str">
        <f>Details!B16</f>
        <v xml:space="preserve">Sunday School </v>
      </c>
      <c r="C15" s="142">
        <f>Details!I16</f>
        <v>19560</v>
      </c>
      <c r="D15" s="143">
        <f>Details!T16</f>
        <v>125430</v>
      </c>
      <c r="E15" s="319">
        <f t="shared" si="0"/>
        <v>0.73782352941176466</v>
      </c>
      <c r="F15" s="46">
        <f>Details!W16</f>
        <v>170000</v>
      </c>
      <c r="G15" s="3"/>
    </row>
    <row r="16" spans="1:7" ht="18.75">
      <c r="A16" s="289"/>
      <c r="B16" s="285" t="str">
        <f>Details!B17</f>
        <v>Thanksgiving</v>
      </c>
      <c r="C16" s="142">
        <f>Details!I17</f>
        <v>224350</v>
      </c>
      <c r="D16" s="143">
        <f>Details!T17</f>
        <v>423875</v>
      </c>
      <c r="E16" s="319">
        <f t="shared" si="0"/>
        <v>1.0596874999999999</v>
      </c>
      <c r="F16" s="46">
        <f>Details!W17</f>
        <v>400000</v>
      </c>
      <c r="G16" s="3"/>
    </row>
    <row r="17" spans="1:9" ht="18.75">
      <c r="A17" s="284"/>
      <c r="B17" s="285" t="str">
        <f>Details!B18</f>
        <v>Tithes</v>
      </c>
      <c r="C17" s="142">
        <f>Details!I18</f>
        <v>627262</v>
      </c>
      <c r="D17" s="144">
        <f>Details!T18</f>
        <v>3607971</v>
      </c>
      <c r="E17" s="319">
        <f t="shared" si="0"/>
        <v>0.55507246153846157</v>
      </c>
      <c r="F17" s="46">
        <f>Details!W18</f>
        <v>6500000</v>
      </c>
      <c r="G17" s="3"/>
    </row>
    <row r="18" spans="1:9" ht="34.5" customHeight="1">
      <c r="A18" s="284"/>
      <c r="B18" s="324" t="str">
        <f>Details!B19</f>
        <v>Total income this reporting period</v>
      </c>
      <c r="C18" s="325">
        <f>Details!I19</f>
        <v>1265100.3700000001</v>
      </c>
      <c r="D18" s="323">
        <f>Details!T19</f>
        <v>6340189.7000000002</v>
      </c>
      <c r="E18" s="320">
        <f t="shared" si="0"/>
        <v>0.59417368282945671</v>
      </c>
      <c r="F18" s="46">
        <f>Details!W19</f>
        <v>10670600</v>
      </c>
      <c r="G18" s="3"/>
    </row>
    <row r="19" spans="1:9" ht="36.75" customHeight="1">
      <c r="A19" s="284"/>
      <c r="B19" s="326" t="str">
        <f>Details!B20</f>
        <v>B/F from previous month/quarter: First Bank of Nigeria</v>
      </c>
      <c r="C19" s="148">
        <f>Details!I20</f>
        <v>240423.21</v>
      </c>
      <c r="D19" s="144">
        <f>Details!T20</f>
        <v>286762.07</v>
      </c>
      <c r="E19" s="321"/>
      <c r="F19" s="46">
        <f>Details!W20</f>
        <v>286762.07</v>
      </c>
      <c r="G19" s="3"/>
    </row>
    <row r="20" spans="1:9" ht="18.75">
      <c r="A20" s="284"/>
      <c r="B20" s="326" t="str">
        <f>Details!B21</f>
        <v xml:space="preserve">                               Randalapha MFB</v>
      </c>
      <c r="C20" s="148">
        <f>Details!I21</f>
        <v>95529.11</v>
      </c>
      <c r="D20" s="144">
        <f>Details!T21</f>
        <v>16787.310000000001</v>
      </c>
      <c r="E20" s="319"/>
      <c r="F20" s="46">
        <f>Details!W21</f>
        <v>16787.310000000001</v>
      </c>
      <c r="G20" s="3"/>
    </row>
    <row r="21" spans="1:9" ht="18.75">
      <c r="A21" s="284"/>
      <c r="B21" s="326" t="str">
        <f>Details!B22</f>
        <v xml:space="preserve">                               Access Bank (Building fund)</v>
      </c>
      <c r="C21" s="148">
        <f>Details!I22</f>
        <v>492254.19</v>
      </c>
      <c r="D21" s="144">
        <f>Details!T22</f>
        <v>1513424.07</v>
      </c>
      <c r="E21" s="319"/>
      <c r="F21" s="46">
        <f>Details!W22</f>
        <v>1513424.07</v>
      </c>
      <c r="G21" s="3"/>
    </row>
    <row r="22" spans="1:9" ht="37.5">
      <c r="A22" s="284"/>
      <c r="B22" s="326" t="str">
        <f>Details!B23</f>
        <v xml:space="preserve">                               Imprest Account (Cash on hand)</v>
      </c>
      <c r="C22" s="148">
        <f>Details!I23</f>
        <v>0</v>
      </c>
      <c r="D22" s="144">
        <f>Details!T23</f>
        <v>3000</v>
      </c>
      <c r="E22" s="319"/>
      <c r="F22" s="46">
        <f>Details!W23</f>
        <v>3000</v>
      </c>
      <c r="G22" s="100"/>
      <c r="I22" s="2">
        <f>D22-G22</f>
        <v>3000</v>
      </c>
    </row>
    <row r="23" spans="1:9" ht="21.75" customHeight="1">
      <c r="A23" s="284"/>
      <c r="B23" s="312" t="str">
        <f>Details!B24</f>
        <v>Total B/F from 2020 or last month or quarter</v>
      </c>
      <c r="C23" s="148">
        <f>Details!I24</f>
        <v>828206.51</v>
      </c>
      <c r="D23" s="144">
        <f>Details!T24</f>
        <v>1819973.4500000002</v>
      </c>
      <c r="E23" s="320"/>
      <c r="F23" s="46">
        <f>Details!W24</f>
        <v>1819973.4500000002</v>
      </c>
      <c r="G23" s="3"/>
    </row>
    <row r="24" spans="1:9" ht="18.75">
      <c r="A24" s="284"/>
      <c r="B24" s="300" t="str">
        <f>Details!B25</f>
        <v>Total Income/Available cash</v>
      </c>
      <c r="C24" s="141">
        <f>Details!I25</f>
        <v>2093306.8800000001</v>
      </c>
      <c r="D24" s="146">
        <f>Details!T25</f>
        <v>8160163.1500000004</v>
      </c>
      <c r="E24" s="322">
        <f t="shared" si="0"/>
        <v>0.65330572552695731</v>
      </c>
      <c r="F24" s="46">
        <f>Details!W25</f>
        <v>12490573.450000001</v>
      </c>
      <c r="G24" s="3"/>
    </row>
    <row r="25" spans="1:9" ht="18.75">
      <c r="A25" s="284"/>
      <c r="B25" s="300" t="str">
        <f>Details!B26</f>
        <v>EXPENDITURE</v>
      </c>
      <c r="C25" s="142"/>
      <c r="D25" s="143"/>
      <c r="E25" s="319"/>
      <c r="F25" s="46">
        <f>Details!W26</f>
        <v>0</v>
      </c>
      <c r="G25" s="3"/>
      <c r="I25">
        <v>-342482.58</v>
      </c>
    </row>
    <row r="26" spans="1:9" ht="18.75">
      <c r="A26" s="284"/>
      <c r="B26" s="300" t="str">
        <f>Details!B27</f>
        <v>A. CHURCH MINISTRIES</v>
      </c>
      <c r="C26" s="141">
        <f>Details!I27</f>
        <v>159400</v>
      </c>
      <c r="D26" s="146">
        <f>Details!T27</f>
        <v>1016150</v>
      </c>
      <c r="E26" s="322">
        <f t="shared" si="0"/>
        <v>0.33730000663878379</v>
      </c>
      <c r="F26" s="46">
        <f>Details!W27</f>
        <v>3012600</v>
      </c>
      <c r="G26" s="3"/>
      <c r="I26" s="2">
        <f>SUM(I22:I25)</f>
        <v>-339482.58</v>
      </c>
    </row>
    <row r="27" spans="1:9" ht="18.75">
      <c r="A27" s="284"/>
      <c r="B27" s="285" t="str">
        <f>Details!B28</f>
        <v>Benevolence</v>
      </c>
      <c r="C27" s="142">
        <f>Details!I28</f>
        <v>69000</v>
      </c>
      <c r="D27" s="143">
        <f>Details!T28</f>
        <v>193940</v>
      </c>
      <c r="E27" s="319">
        <f t="shared" si="0"/>
        <v>0.543249299719888</v>
      </c>
      <c r="F27" s="46">
        <f>Details!W28</f>
        <v>357000</v>
      </c>
      <c r="G27" s="3"/>
    </row>
    <row r="28" spans="1:9" ht="18.75">
      <c r="A28" s="284"/>
      <c r="B28" s="285" t="str">
        <f>Details!B29</f>
        <v>Childrens' Department</v>
      </c>
      <c r="C28" s="142">
        <f>Details!I29</f>
        <v>3500</v>
      </c>
      <c r="D28" s="143">
        <f>Details!T29</f>
        <v>98380</v>
      </c>
      <c r="E28" s="319">
        <f t="shared" si="0"/>
        <v>0.37265151515151518</v>
      </c>
      <c r="F28" s="46">
        <f>Details!W29</f>
        <v>264000</v>
      </c>
      <c r="G28" s="3"/>
    </row>
    <row r="29" spans="1:9" ht="18.75">
      <c r="A29" s="284"/>
      <c r="B29" s="285" t="str">
        <f>Details!B30</f>
        <v>Church decorations</v>
      </c>
      <c r="C29" s="142">
        <f>Details!I30</f>
        <v>0</v>
      </c>
      <c r="D29" s="143">
        <f>Details!T30</f>
        <v>0</v>
      </c>
      <c r="E29" s="319">
        <f t="shared" si="0"/>
        <v>0</v>
      </c>
      <c r="F29" s="46">
        <f>Details!W30</f>
        <v>25000</v>
      </c>
      <c r="G29" s="3"/>
    </row>
    <row r="30" spans="1:9" ht="18.75">
      <c r="A30" s="284"/>
      <c r="B30" s="285" t="str">
        <f>Details!B31</f>
        <v>Church Maintenance</v>
      </c>
      <c r="C30" s="142">
        <f>Details!I31</f>
        <v>0</v>
      </c>
      <c r="D30" s="143">
        <f>Details!T31</f>
        <v>0</v>
      </c>
      <c r="E30" s="319">
        <f t="shared" si="0"/>
        <v>0</v>
      </c>
      <c r="F30" s="46">
        <f>Details!W31</f>
        <v>20000</v>
      </c>
      <c r="G30" s="3"/>
    </row>
    <row r="31" spans="1:9" ht="18.75">
      <c r="A31" s="284"/>
      <c r="B31" s="285" t="str">
        <f>Details!B33</f>
        <v>Discipleship Department</v>
      </c>
      <c r="C31" s="142">
        <f>Details!I33</f>
        <v>0</v>
      </c>
      <c r="D31" s="143">
        <f>Details!T33</f>
        <v>0</v>
      </c>
      <c r="E31" s="319">
        <f t="shared" si="0"/>
        <v>0</v>
      </c>
      <c r="F31" s="46">
        <f>Details!W33</f>
        <v>15000</v>
      </c>
      <c r="G31" s="3"/>
    </row>
    <row r="32" spans="1:9" ht="18.75">
      <c r="A32" s="284"/>
      <c r="B32" s="285" t="str">
        <f>Details!B34</f>
        <v>Drama Committee</v>
      </c>
      <c r="C32" s="142">
        <f>Details!I34</f>
        <v>0</v>
      </c>
      <c r="D32" s="143">
        <f>Details!T34</f>
        <v>10000</v>
      </c>
      <c r="E32" s="319">
        <f t="shared" si="0"/>
        <v>0.2857142857142857</v>
      </c>
      <c r="F32" s="46">
        <f>Details!W34</f>
        <v>35000</v>
      </c>
      <c r="G32" s="3"/>
    </row>
    <row r="33" spans="1:7" ht="37.5" hidden="1">
      <c r="A33" s="284"/>
      <c r="B33" s="302" t="str">
        <f>Details!B35</f>
        <v>End of year outreach - Heaven's Link Praise Festival</v>
      </c>
      <c r="C33" s="148">
        <f>Details!I35</f>
        <v>0</v>
      </c>
      <c r="D33" s="144">
        <f>Details!T35</f>
        <v>0</v>
      </c>
      <c r="E33" s="321">
        <f t="shared" si="0"/>
        <v>0</v>
      </c>
      <c r="F33" s="46">
        <f>Details!W35</f>
        <v>130000</v>
      </c>
      <c r="G33" s="3"/>
    </row>
    <row r="34" spans="1:7" ht="18.75">
      <c r="A34" s="284"/>
      <c r="B34" s="285" t="str">
        <f>Details!B36</f>
        <v>Evangelism Committee</v>
      </c>
      <c r="C34" s="142">
        <f>Details!I36</f>
        <v>50000</v>
      </c>
      <c r="D34" s="143">
        <f>Details!T36</f>
        <v>256400</v>
      </c>
      <c r="E34" s="319">
        <f t="shared" si="0"/>
        <v>0.51280000000000003</v>
      </c>
      <c r="F34" s="46">
        <f>Details!W36</f>
        <v>500000</v>
      </c>
      <c r="G34" s="3"/>
    </row>
    <row r="35" spans="1:7" ht="18.75" hidden="1">
      <c r="A35" s="284"/>
      <c r="B35" s="285" t="str">
        <f>Details!B37</f>
        <v>Exemplary Youth Award</v>
      </c>
      <c r="C35" s="142">
        <f>Details!I37</f>
        <v>0</v>
      </c>
      <c r="D35" s="143">
        <f>Details!T37</f>
        <v>0</v>
      </c>
      <c r="E35" s="319">
        <f t="shared" si="0"/>
        <v>0</v>
      </c>
      <c r="F35" s="46">
        <f>Details!W37</f>
        <v>75000</v>
      </c>
      <c r="G35" s="3"/>
    </row>
    <row r="36" spans="1:7" ht="18.75">
      <c r="A36" s="284"/>
      <c r="B36" s="285" t="str">
        <f>Details!B38</f>
        <v>External Affairs</v>
      </c>
      <c r="C36" s="142">
        <f>Details!I38</f>
        <v>0</v>
      </c>
      <c r="D36" s="143">
        <f>Details!T38</f>
        <v>36940</v>
      </c>
      <c r="E36" s="319">
        <f t="shared" si="0"/>
        <v>0.97210526315789469</v>
      </c>
      <c r="F36" s="46">
        <f>Details!W38</f>
        <v>38000</v>
      </c>
      <c r="G36" s="3"/>
    </row>
    <row r="37" spans="1:7" ht="18.75">
      <c r="A37" s="284"/>
      <c r="B37" s="285" t="str">
        <f>Details!B39</f>
        <v>Health Committee</v>
      </c>
      <c r="C37" s="142">
        <f>Details!I39</f>
        <v>0</v>
      </c>
      <c r="D37" s="143">
        <f>Details!T39</f>
        <v>3200</v>
      </c>
      <c r="E37" s="319">
        <f t="shared" si="0"/>
        <v>9.2753623188405798E-2</v>
      </c>
      <c r="F37" s="46">
        <f>Details!W39</f>
        <v>34500</v>
      </c>
      <c r="G37" s="3"/>
    </row>
    <row r="38" spans="1:7" ht="18.75">
      <c r="A38" s="284"/>
      <c r="B38" s="285" t="str">
        <f>Details!B40</f>
        <v>Hospitality Committee</v>
      </c>
      <c r="C38" s="142">
        <f>Details!I40</f>
        <v>3400</v>
      </c>
      <c r="D38" s="143">
        <f>Details!T40</f>
        <v>21990</v>
      </c>
      <c r="E38" s="319">
        <f t="shared" si="0"/>
        <v>8.3675799086757985E-2</v>
      </c>
      <c r="F38" s="46">
        <f>Details!W40</f>
        <v>262800</v>
      </c>
      <c r="G38" s="3"/>
    </row>
    <row r="39" spans="1:7" ht="18.75">
      <c r="A39" s="284"/>
      <c r="B39" s="285" t="str">
        <f>Details!B41</f>
        <v>Media/Sound Unit</v>
      </c>
      <c r="C39" s="142">
        <f>Details!I41</f>
        <v>8500</v>
      </c>
      <c r="D39" s="143">
        <f>Details!T41</f>
        <v>46400</v>
      </c>
      <c r="E39" s="319">
        <f t="shared" si="0"/>
        <v>0.30933333333333335</v>
      </c>
      <c r="F39" s="46">
        <f>Details!W41</f>
        <v>150000</v>
      </c>
      <c r="G39" s="3"/>
    </row>
    <row r="40" spans="1:7" ht="18.75">
      <c r="A40" s="284"/>
      <c r="B40" s="285" t="str">
        <f>Details!B42</f>
        <v>MMU</v>
      </c>
      <c r="C40" s="142">
        <f>Details!I42</f>
        <v>0</v>
      </c>
      <c r="D40" s="143">
        <f>Details!T42</f>
        <v>600</v>
      </c>
      <c r="E40" s="319">
        <f t="shared" si="0"/>
        <v>1.2E-2</v>
      </c>
      <c r="F40" s="46">
        <f>Details!W42</f>
        <v>50000</v>
      </c>
      <c r="G40" s="3"/>
    </row>
    <row r="41" spans="1:7" ht="18.75">
      <c r="A41" s="284"/>
      <c r="B41" s="285" t="str">
        <f>Details!B43</f>
        <v>Music Department</v>
      </c>
      <c r="C41" s="142">
        <f>Details!I43</f>
        <v>0</v>
      </c>
      <c r="D41" s="143">
        <f>Details!T43</f>
        <v>49000</v>
      </c>
      <c r="E41" s="319">
        <f t="shared" si="0"/>
        <v>0.17437722419928825</v>
      </c>
      <c r="F41" s="46">
        <f>Details!W43</f>
        <v>281000</v>
      </c>
      <c r="G41" s="3"/>
    </row>
    <row r="42" spans="1:7" ht="18.75">
      <c r="A42" s="284"/>
      <c r="B42" s="285" t="str">
        <f>Details!B44</f>
        <v>Nominating</v>
      </c>
      <c r="C42" s="142">
        <f>Details!I44</f>
        <v>0</v>
      </c>
      <c r="D42" s="143">
        <f>Details!T44</f>
        <v>0</v>
      </c>
      <c r="E42" s="319" t="e">
        <f t="shared" si="0"/>
        <v>#DIV/0!</v>
      </c>
      <c r="F42" s="46">
        <f>Details!W44</f>
        <v>0</v>
      </c>
      <c r="G42" s="3"/>
    </row>
    <row r="43" spans="1:7" ht="18.75">
      <c r="A43" s="284"/>
      <c r="B43" s="285" t="str">
        <f>Details!B45</f>
        <v>Property Committee</v>
      </c>
      <c r="C43" s="142">
        <f>Details!I45</f>
        <v>0</v>
      </c>
      <c r="D43" s="143">
        <f>Details!T45</f>
        <v>6000</v>
      </c>
      <c r="E43" s="319">
        <f t="shared" si="0"/>
        <v>0.03</v>
      </c>
      <c r="F43" s="46">
        <f>Details!W45</f>
        <v>200000</v>
      </c>
      <c r="G43" s="3"/>
    </row>
    <row r="44" spans="1:7" ht="18.75">
      <c r="A44" s="284"/>
      <c r="B44" s="285" t="str">
        <f>Details!B46</f>
        <v>Personnel</v>
      </c>
      <c r="C44" s="142">
        <f>Details!I46</f>
        <v>0</v>
      </c>
      <c r="D44" s="143">
        <f>Details!T46</f>
        <v>0</v>
      </c>
      <c r="E44" s="319"/>
      <c r="F44" s="46">
        <f>Details!W46</f>
        <v>0</v>
      </c>
      <c r="G44" s="3"/>
    </row>
    <row r="45" spans="1:7" ht="18.75">
      <c r="A45" s="284"/>
      <c r="B45" s="285" t="str">
        <f>Details!B47</f>
        <v>Sanctuary supplies</v>
      </c>
      <c r="C45" s="142">
        <f>Details!I47</f>
        <v>0</v>
      </c>
      <c r="D45" s="143">
        <f>Details!T47</f>
        <v>75500</v>
      </c>
      <c r="E45" s="319">
        <f t="shared" si="0"/>
        <v>0.25166666666666665</v>
      </c>
      <c r="F45" s="46">
        <f>Details!W47</f>
        <v>300000</v>
      </c>
      <c r="G45" s="3"/>
    </row>
    <row r="46" spans="1:7" ht="18.75">
      <c r="A46" s="284"/>
      <c r="B46" s="285" t="str">
        <f>Details!B48</f>
        <v>Stewardship</v>
      </c>
      <c r="C46" s="142">
        <f>Details!I48</f>
        <v>0</v>
      </c>
      <c r="D46" s="143">
        <f>Details!T48</f>
        <v>0</v>
      </c>
      <c r="E46" s="319">
        <f t="shared" si="0"/>
        <v>0</v>
      </c>
      <c r="F46" s="46">
        <f>Details!W48</f>
        <v>10000</v>
      </c>
      <c r="G46" s="3"/>
    </row>
    <row r="47" spans="1:7" ht="18.75">
      <c r="A47" s="284"/>
      <c r="B47" s="285" t="str">
        <f>Details!B49</f>
        <v xml:space="preserve">Sunday School </v>
      </c>
      <c r="C47" s="142">
        <f>Details!I49</f>
        <v>0</v>
      </c>
      <c r="D47" s="143">
        <f>Details!T49</f>
        <v>31400</v>
      </c>
      <c r="E47" s="319">
        <f t="shared" si="0"/>
        <v>0.8306878306878307</v>
      </c>
      <c r="F47" s="46">
        <f>Details!W49</f>
        <v>37800</v>
      </c>
      <c r="G47" s="3"/>
    </row>
    <row r="48" spans="1:7" ht="18.75">
      <c r="A48" s="284"/>
      <c r="B48" s="285" t="str">
        <f>Details!B50</f>
        <v>Ushers Committee</v>
      </c>
      <c r="C48" s="142">
        <f>Details!I50</f>
        <v>0</v>
      </c>
      <c r="D48" s="143">
        <f>Details!T50</f>
        <v>2500</v>
      </c>
      <c r="E48" s="319">
        <f t="shared" si="0"/>
        <v>0.3125</v>
      </c>
      <c r="F48" s="46">
        <f>Details!W50</f>
        <v>8000</v>
      </c>
      <c r="G48" s="3"/>
    </row>
    <row r="49" spans="1:7" ht="18.75">
      <c r="A49" s="284"/>
      <c r="B49" s="285" t="str">
        <f>Details!B51</f>
        <v>Visitation Committee</v>
      </c>
      <c r="C49" s="142">
        <f>Details!I51</f>
        <v>0</v>
      </c>
      <c r="D49" s="143">
        <f>Details!T51</f>
        <v>7500</v>
      </c>
      <c r="E49" s="319">
        <f t="shared" si="0"/>
        <v>0.46875</v>
      </c>
      <c r="F49" s="46">
        <f>Details!W51</f>
        <v>16000</v>
      </c>
      <c r="G49" s="3"/>
    </row>
    <row r="50" spans="1:7" ht="18.75">
      <c r="A50" s="284"/>
      <c r="B50" s="285" t="str">
        <f>Details!B52</f>
        <v>WMU</v>
      </c>
      <c r="C50" s="142">
        <f>Details!I52</f>
        <v>0</v>
      </c>
      <c r="D50" s="143">
        <f>Details!T52</f>
        <v>48000</v>
      </c>
      <c r="E50" s="319">
        <f t="shared" si="0"/>
        <v>0.59627329192546585</v>
      </c>
      <c r="F50" s="46">
        <f>Details!W52</f>
        <v>80500</v>
      </c>
      <c r="G50" s="3"/>
    </row>
    <row r="51" spans="1:7" ht="18.75">
      <c r="A51" s="284"/>
      <c r="B51" s="285" t="str">
        <f>Details!B53</f>
        <v>Youth Fellowship</v>
      </c>
      <c r="C51" s="142">
        <f>Details!I53</f>
        <v>25000</v>
      </c>
      <c r="D51" s="143">
        <f>Details!T53</f>
        <v>94000</v>
      </c>
      <c r="E51" s="319">
        <f t="shared" si="0"/>
        <v>1.1325301204819278</v>
      </c>
      <c r="F51" s="46">
        <f>Details!W53</f>
        <v>83000</v>
      </c>
      <c r="G51" s="3"/>
    </row>
    <row r="52" spans="1:7" ht="18.75">
      <c r="A52" s="284"/>
      <c r="B52" s="285" t="str">
        <f>Details!B54</f>
        <v>Teenagers</v>
      </c>
      <c r="C52" s="142">
        <f>Details!I54</f>
        <v>0</v>
      </c>
      <c r="D52" s="143">
        <f>Details!T54</f>
        <v>34400</v>
      </c>
      <c r="E52" s="319">
        <f>D52/F52</f>
        <v>1.72</v>
      </c>
      <c r="F52" s="46">
        <f>Details!W54</f>
        <v>20000</v>
      </c>
      <c r="G52" s="3"/>
    </row>
    <row r="53" spans="1:7" ht="18.75">
      <c r="A53" s="284"/>
      <c r="B53" s="285"/>
      <c r="C53" s="142"/>
      <c r="D53" s="143"/>
      <c r="E53" s="322"/>
      <c r="F53" s="46">
        <f>Details!W55</f>
        <v>0</v>
      </c>
      <c r="G53" s="3"/>
    </row>
    <row r="54" spans="1:7" ht="18.75">
      <c r="A54" s="284"/>
      <c r="B54" s="285"/>
      <c r="C54" s="142"/>
      <c r="D54" s="143"/>
      <c r="E54" s="319"/>
      <c r="F54" s="46">
        <f>Details!W56</f>
        <v>0</v>
      </c>
      <c r="G54" s="3"/>
    </row>
    <row r="55" spans="1:7" ht="20.25" customHeight="1">
      <c r="A55" s="306"/>
      <c r="B55" s="300" t="str">
        <f>Details!B57</f>
        <v>B. CHURCH STAFF</v>
      </c>
      <c r="C55" s="141">
        <f>Details!I57</f>
        <v>181740.63</v>
      </c>
      <c r="D55" s="146">
        <f>Details!T57</f>
        <v>1295169.53</v>
      </c>
      <c r="E55" s="322">
        <f t="shared" si="0"/>
        <v>0.44663907568641337</v>
      </c>
      <c r="F55" s="46">
        <f>Details!W57</f>
        <v>2899812.4</v>
      </c>
      <c r="G55" s="3"/>
    </row>
    <row r="56" spans="1:7" ht="18.75">
      <c r="A56" s="284"/>
      <c r="B56" s="285" t="str">
        <f>Details!B58</f>
        <v>Church Pastor (salaries and allowances)</v>
      </c>
      <c r="C56" s="142">
        <f>Details!I58</f>
        <v>99398.13</v>
      </c>
      <c r="D56" s="143">
        <f>Details!T58</f>
        <v>674440.77</v>
      </c>
      <c r="E56" s="319">
        <f t="shared" si="0"/>
        <v>0.41245127227746647</v>
      </c>
      <c r="F56" s="46">
        <f>Details!W58</f>
        <v>1635201.09</v>
      </c>
      <c r="G56" s="3"/>
    </row>
    <row r="57" spans="1:7" ht="18.75">
      <c r="A57" s="284"/>
      <c r="B57" s="285" t="str">
        <f>Details!B59</f>
        <v>Other Pastors</v>
      </c>
      <c r="C57" s="142">
        <f>Details!I59</f>
        <v>63878</v>
      </c>
      <c r="D57" s="143">
        <f>Details!T59</f>
        <v>418634</v>
      </c>
      <c r="E57" s="319">
        <f t="shared" si="0"/>
        <v>0.52991645569620249</v>
      </c>
      <c r="F57" s="46">
        <f>Details!W59</f>
        <v>790000</v>
      </c>
      <c r="G57" s="3"/>
    </row>
    <row r="58" spans="1:7" ht="18.75">
      <c r="A58" s="284"/>
      <c r="B58" s="285" t="str">
        <f>Details!B60</f>
        <v>Janitor</v>
      </c>
      <c r="C58" s="142">
        <f>Details!I60</f>
        <v>18464.5</v>
      </c>
      <c r="D58" s="143">
        <f>Details!T60</f>
        <v>202094.76</v>
      </c>
      <c r="E58" s="319">
        <f t="shared" si="0"/>
        <v>0.42581109160672975</v>
      </c>
      <c r="F58" s="46">
        <f>Details!W60</f>
        <v>474611.31</v>
      </c>
      <c r="G58" s="3"/>
    </row>
    <row r="59" spans="1:7" ht="18.75">
      <c r="A59" s="284"/>
      <c r="B59" s="285" t="str">
        <f>Details!B61</f>
        <v>Appreciation service for Pastor</v>
      </c>
      <c r="C59" s="142">
        <f>Details!I61</f>
        <v>0</v>
      </c>
      <c r="D59" s="143">
        <f>Details!T61</f>
        <v>0</v>
      </c>
      <c r="E59" s="319">
        <f>D59/F59</f>
        <v>0</v>
      </c>
      <c r="F59" s="46">
        <v>500000</v>
      </c>
      <c r="G59" s="3"/>
    </row>
    <row r="60" spans="1:7" ht="18.75">
      <c r="A60" s="306"/>
      <c r="B60" s="300" t="str">
        <f>Details!B62</f>
        <v>C. OPERATION COSTS</v>
      </c>
      <c r="C60" s="141">
        <f>Details!I62</f>
        <v>351189.83</v>
      </c>
      <c r="D60" s="146">
        <f>Details!T62</f>
        <v>829740.71924999997</v>
      </c>
      <c r="E60" s="322">
        <f t="shared" si="0"/>
        <v>0.77647456414935423</v>
      </c>
      <c r="F60" s="46">
        <f>Details!W62</f>
        <v>1068600</v>
      </c>
      <c r="G60" s="3"/>
    </row>
    <row r="61" spans="1:7" ht="18.75">
      <c r="A61" s="306"/>
      <c r="B61" s="285" t="str">
        <f>Details!B63</f>
        <v>10th Year anniversary celebrations</v>
      </c>
      <c r="C61" s="142">
        <f>Details!I63</f>
        <v>300000</v>
      </c>
      <c r="D61" s="143">
        <f>Details!T63</f>
        <v>300000</v>
      </c>
      <c r="E61" s="319">
        <f>D61/F61</f>
        <v>1.5</v>
      </c>
      <c r="F61" s="397">
        <f>Details!W63</f>
        <v>200000</v>
      </c>
      <c r="G61" s="3"/>
    </row>
    <row r="62" spans="1:7" ht="16.5" customHeight="1">
      <c r="A62" s="284"/>
      <c r="B62" s="302" t="str">
        <f>Details!B64</f>
        <v xml:space="preserve">Bank charges: sms, maintenance, VAT etc. </v>
      </c>
      <c r="C62" s="142">
        <f>Details!I64</f>
        <v>2689.83</v>
      </c>
      <c r="D62" s="143">
        <f>Details!T64</f>
        <v>15220.720000000001</v>
      </c>
      <c r="E62" s="319">
        <f t="shared" si="0"/>
        <v>0.69185090909090918</v>
      </c>
      <c r="F62" s="46">
        <f>Details!W64</f>
        <v>22000</v>
      </c>
      <c r="G62" s="3"/>
    </row>
    <row r="63" spans="1:7" ht="18.75">
      <c r="A63" s="284"/>
      <c r="B63" s="285" t="str">
        <f>Details!B65</f>
        <v>Church Council refreshments</v>
      </c>
      <c r="C63" s="142">
        <f>Details!I65</f>
        <v>0</v>
      </c>
      <c r="D63" s="143">
        <f>Details!T65</f>
        <v>8000</v>
      </c>
      <c r="E63" s="319">
        <f t="shared" si="0"/>
        <v>0.33333333333333331</v>
      </c>
      <c r="F63" s="46">
        <f>Details!W65</f>
        <v>24000</v>
      </c>
      <c r="G63" s="3"/>
    </row>
    <row r="64" spans="1:7" ht="18.75">
      <c r="A64" s="284"/>
      <c r="B64" s="285" t="str">
        <f>Details!B66</f>
        <v>Church secreteriat</v>
      </c>
      <c r="C64" s="142">
        <f>Details!I66</f>
        <v>0</v>
      </c>
      <c r="D64" s="143">
        <f>Details!T66</f>
        <v>55470</v>
      </c>
      <c r="E64" s="319">
        <f t="shared" si="0"/>
        <v>0.92449999999999999</v>
      </c>
      <c r="F64" s="46">
        <f>Details!W66</f>
        <v>60000</v>
      </c>
      <c r="G64" s="3"/>
    </row>
    <row r="65" spans="1:8" ht="18.75">
      <c r="A65" s="284"/>
      <c r="B65" s="285" t="str">
        <f>Details!B67</f>
        <v>Convention session</v>
      </c>
      <c r="C65" s="142">
        <f>Details!I67</f>
        <v>0</v>
      </c>
      <c r="D65" s="143">
        <f>Details!T67</f>
        <v>122500</v>
      </c>
      <c r="E65" s="319">
        <f t="shared" si="0"/>
        <v>6.125</v>
      </c>
      <c r="F65" s="46">
        <f>Details!W67</f>
        <v>20000</v>
      </c>
      <c r="G65" s="3"/>
    </row>
    <row r="66" spans="1:8" ht="18.75">
      <c r="A66" s="284"/>
      <c r="B66" s="285" t="str">
        <f>Details!B68</f>
        <v>Electricity - church auditorium</v>
      </c>
      <c r="C66" s="142">
        <f>Details!I68</f>
        <v>0</v>
      </c>
      <c r="D66" s="143">
        <f>Details!T68</f>
        <v>20000</v>
      </c>
      <c r="E66" s="319">
        <f t="shared" si="0"/>
        <v>0.625</v>
      </c>
      <c r="F66" s="46">
        <f>Details!W68</f>
        <v>32000</v>
      </c>
      <c r="G66" s="3"/>
    </row>
    <row r="67" spans="1:8" ht="18.75">
      <c r="A67" s="284"/>
      <c r="B67" s="285" t="str">
        <f>Details!B69</f>
        <v>Electricity - Pastorium</v>
      </c>
      <c r="C67" s="142">
        <f>Details!I69</f>
        <v>0</v>
      </c>
      <c r="D67" s="143">
        <f>Details!T69</f>
        <v>10000</v>
      </c>
      <c r="E67" s="319">
        <f t="shared" si="0"/>
        <v>0.20833333333333334</v>
      </c>
      <c r="F67" s="46">
        <f>Details!W69</f>
        <v>48000</v>
      </c>
      <c r="G67" s="3"/>
    </row>
    <row r="68" spans="1:8" ht="37.5">
      <c r="A68" s="284"/>
      <c r="B68" s="302" t="str">
        <f>Details!B70</f>
        <v>Generators - fuel and maintenance church auditorium</v>
      </c>
      <c r="C68" s="148">
        <f>Details!I70</f>
        <v>26700</v>
      </c>
      <c r="D68" s="144">
        <f>Details!T70</f>
        <v>136849.99924999999</v>
      </c>
      <c r="E68" s="321">
        <f t="shared" si="0"/>
        <v>0.51479269803888994</v>
      </c>
      <c r="F68" s="46">
        <f>Details!W70</f>
        <v>265835.15999999997</v>
      </c>
      <c r="G68" s="3"/>
    </row>
    <row r="69" spans="1:8" ht="18" customHeight="1">
      <c r="A69" s="284"/>
      <c r="B69" s="302" t="str">
        <f>Details!B71</f>
        <v>Generators - fuel and maintenance pastorium</v>
      </c>
      <c r="C69" s="148">
        <f>Details!I71</f>
        <v>18800</v>
      </c>
      <c r="D69" s="144">
        <f>Details!T71</f>
        <v>99900</v>
      </c>
      <c r="E69" s="321">
        <f t="shared" si="0"/>
        <v>0.90191075074003635</v>
      </c>
      <c r="F69" s="46">
        <f>Details!W71</f>
        <v>110764.84</v>
      </c>
      <c r="G69" s="3"/>
    </row>
    <row r="70" spans="1:8" ht="24.75" hidden="1" customHeight="1">
      <c r="A70" s="284"/>
      <c r="B70" s="285" t="str">
        <f>Details!B72</f>
        <v>Keep fit instructor</v>
      </c>
      <c r="C70" s="142">
        <f>Details!I72</f>
        <v>0</v>
      </c>
      <c r="D70" s="143">
        <f>Details!T72</f>
        <v>0</v>
      </c>
      <c r="E70" s="321" t="e">
        <f t="shared" si="0"/>
        <v>#DIV/0!</v>
      </c>
      <c r="F70" s="46">
        <f>Details!W72</f>
        <v>0</v>
      </c>
      <c r="G70" s="3"/>
    </row>
    <row r="71" spans="1:8" ht="18.75">
      <c r="A71" s="284"/>
      <c r="B71" s="285" t="str">
        <f>Details!B73</f>
        <v xml:space="preserve">Ministers' Conference </v>
      </c>
      <c r="C71" s="142">
        <f>Details!I73</f>
        <v>0</v>
      </c>
      <c r="D71" s="143">
        <f>Details!T73</f>
        <v>0</v>
      </c>
      <c r="E71" s="319">
        <f t="shared" ref="E71:E76" si="1">D71/F71</f>
        <v>0</v>
      </c>
      <c r="F71" s="46">
        <f>Details!W73</f>
        <v>6000</v>
      </c>
      <c r="G71" s="3"/>
    </row>
    <row r="72" spans="1:8" ht="35.25" customHeight="1">
      <c r="A72" s="284"/>
      <c r="B72" s="302" t="str">
        <f>Details!B74</f>
        <v>Miscellanous (transport for CAN Minister, honorarium for supervisor)</v>
      </c>
      <c r="C72" s="148">
        <f>Details!I74</f>
        <v>3000</v>
      </c>
      <c r="D72" s="144">
        <f>Details!T74</f>
        <v>18000</v>
      </c>
      <c r="E72" s="321">
        <f t="shared" si="1"/>
        <v>0.36</v>
      </c>
      <c r="F72" s="46">
        <f>Details!W74</f>
        <v>50000</v>
      </c>
      <c r="G72" s="3"/>
      <c r="H72" s="2">
        <f>D72-G72</f>
        <v>18000</v>
      </c>
    </row>
    <row r="73" spans="1:8" ht="18.75">
      <c r="A73" s="284"/>
      <c r="B73" s="285" t="str">
        <f>Details!B75</f>
        <v>Motorcycle</v>
      </c>
      <c r="C73" s="142">
        <f>Details!I75</f>
        <v>0</v>
      </c>
      <c r="D73" s="143">
        <f>Details!T75</f>
        <v>3800</v>
      </c>
      <c r="E73" s="321" t="e">
        <f t="shared" si="1"/>
        <v>#DIV/0!</v>
      </c>
      <c r="F73" s="46">
        <f>Details!W75</f>
        <v>0</v>
      </c>
      <c r="G73" s="3"/>
    </row>
    <row r="74" spans="1:8" ht="18.75">
      <c r="A74" s="284"/>
      <c r="B74" s="285" t="str">
        <f>Details!B76</f>
        <v>Ogbomoso Conference</v>
      </c>
      <c r="C74" s="142">
        <f>Details!I76</f>
        <v>0</v>
      </c>
      <c r="D74" s="143">
        <f>Details!T76</f>
        <v>0</v>
      </c>
      <c r="E74" s="319">
        <f t="shared" si="1"/>
        <v>0</v>
      </c>
      <c r="F74" s="46">
        <f>Details!W76</f>
        <v>25000</v>
      </c>
      <c r="G74" s="3"/>
    </row>
    <row r="75" spans="1:8" ht="18.75">
      <c r="A75" s="284"/>
      <c r="B75" s="285" t="str">
        <f>Details!B77</f>
        <v xml:space="preserve">Pastorium rent &amp; maintenance </v>
      </c>
      <c r="C75" s="142">
        <f>Details!I77</f>
        <v>0</v>
      </c>
      <c r="D75" s="143">
        <f>Details!T77</f>
        <v>0</v>
      </c>
      <c r="E75" s="319">
        <f t="shared" si="1"/>
        <v>0</v>
      </c>
      <c r="F75" s="46">
        <f>Details!W77</f>
        <v>150000</v>
      </c>
      <c r="G75" s="3"/>
    </row>
    <row r="76" spans="1:8" ht="18.75">
      <c r="A76" s="284"/>
      <c r="B76" s="285" t="str">
        <f>Details!B78</f>
        <v>Pastors Wives' retreat</v>
      </c>
      <c r="C76" s="142">
        <f>Details!I78</f>
        <v>0</v>
      </c>
      <c r="D76" s="143">
        <f>Details!T78</f>
        <v>0</v>
      </c>
      <c r="E76" s="319">
        <f t="shared" si="1"/>
        <v>0</v>
      </c>
      <c r="F76" s="46">
        <f>Details!W78</f>
        <v>5000</v>
      </c>
      <c r="G76" s="3"/>
    </row>
    <row r="77" spans="1:8" ht="32.25" customHeight="1">
      <c r="A77" s="284"/>
      <c r="B77" s="312" t="str">
        <f>Details!B79</f>
        <v>Workers' retreat organized by the church</v>
      </c>
      <c r="C77" s="148">
        <f>Details!I79</f>
        <v>0</v>
      </c>
      <c r="D77" s="144">
        <f>Details!T79</f>
        <v>40000</v>
      </c>
      <c r="E77" s="319"/>
      <c r="F77" s="46">
        <f>Details!W79</f>
        <v>50000</v>
      </c>
      <c r="G77" s="3"/>
    </row>
    <row r="78" spans="1:8" ht="18.75">
      <c r="A78" s="284"/>
      <c r="B78" s="285"/>
      <c r="C78" s="142">
        <f>Details!I80</f>
        <v>0</v>
      </c>
      <c r="D78" s="143"/>
      <c r="E78" s="319"/>
      <c r="F78" s="46">
        <f>Details!W80</f>
        <v>0</v>
      </c>
      <c r="G78" s="46"/>
    </row>
    <row r="79" spans="1:8" ht="18.75">
      <c r="A79" s="306"/>
      <c r="B79" s="300" t="str">
        <f>Details!B81</f>
        <v>D. NEW AUDITORIUM &amp; OTHER PROJECTS</v>
      </c>
      <c r="C79" s="141">
        <f>Details!I81</f>
        <v>539527</v>
      </c>
      <c r="D79" s="146">
        <f>Details!T81</f>
        <v>3642996.88</v>
      </c>
      <c r="E79" s="322">
        <f>D79/F79</f>
        <v>0.87740772639691711</v>
      </c>
      <c r="F79" s="46">
        <f>Details!W81</f>
        <v>4152000</v>
      </c>
      <c r="G79" s="3"/>
    </row>
    <row r="80" spans="1:8" ht="18.75">
      <c r="A80" s="284"/>
      <c r="B80" s="285" t="str">
        <f>Details!B82</f>
        <v>Bank charges - Access bank</v>
      </c>
      <c r="C80" s="142">
        <f>Details!I82</f>
        <v>3527</v>
      </c>
      <c r="D80" s="143">
        <f>Details!T82</f>
        <v>4666.88</v>
      </c>
      <c r="E80" s="322">
        <f>D80/F80</f>
        <v>2.33344</v>
      </c>
      <c r="F80" s="46">
        <f>Details!W82</f>
        <v>2000</v>
      </c>
      <c r="G80" s="3"/>
    </row>
    <row r="81" spans="1:8" ht="18.75">
      <c r="A81" s="284"/>
      <c r="B81" s="285" t="str">
        <f>Details!B83</f>
        <v>Borehole</v>
      </c>
      <c r="C81" s="142">
        <f>Details!I83</f>
        <v>0</v>
      </c>
      <c r="D81" s="143">
        <f>Details!T83</f>
        <v>561230</v>
      </c>
      <c r="E81" s="321"/>
      <c r="F81" s="46">
        <f>Details!W83</f>
        <v>650000</v>
      </c>
      <c r="G81" s="3"/>
    </row>
    <row r="82" spans="1:8" ht="18.75" hidden="1">
      <c r="A82" s="284"/>
      <c r="B82" s="285" t="str">
        <f>Details!B84</f>
        <v>Development loan refund</v>
      </c>
      <c r="C82" s="142">
        <f>Details!I84</f>
        <v>0</v>
      </c>
      <c r="D82" s="143">
        <f>Details!T84</f>
        <v>0</v>
      </c>
      <c r="E82" s="321"/>
      <c r="F82" s="46">
        <f>Details!W84</f>
        <v>0</v>
      </c>
      <c r="G82" s="3"/>
    </row>
    <row r="83" spans="1:8" ht="18.75">
      <c r="A83" s="284"/>
      <c r="B83" s="285" t="str">
        <f>Details!B85</f>
        <v>Gift-in-kind towards church auditorium</v>
      </c>
      <c r="C83" s="142">
        <f>Details!I85</f>
        <v>0</v>
      </c>
      <c r="D83" s="143">
        <f>Details!T85</f>
        <v>20800</v>
      </c>
      <c r="E83" s="321"/>
      <c r="F83" s="46">
        <f>Details!W85</f>
        <v>0</v>
      </c>
      <c r="G83" s="3"/>
    </row>
    <row r="84" spans="1:8" ht="18.75">
      <c r="A84" s="284"/>
      <c r="B84" s="285" t="str">
        <f>Details!B86</f>
        <v>New  auditorium - block work, columns and roof beam</v>
      </c>
      <c r="C84" s="142">
        <f>Details!I86</f>
        <v>536000</v>
      </c>
      <c r="D84" s="143">
        <f>Details!T86</f>
        <v>3056300</v>
      </c>
      <c r="E84" s="319">
        <f>D84/F84</f>
        <v>0.87322857142857147</v>
      </c>
      <c r="F84" s="46">
        <f>Details!W86</f>
        <v>3500000</v>
      </c>
      <c r="G84" s="3"/>
    </row>
    <row r="85" spans="1:8" ht="18.75" hidden="1">
      <c r="A85" s="284"/>
      <c r="B85" s="285" t="str">
        <f>Details!B87</f>
        <v>Erection of new sign posts</v>
      </c>
      <c r="C85" s="142">
        <f>Details!I87</f>
        <v>0</v>
      </c>
      <c r="D85" s="143">
        <f>Details!T87</f>
        <v>0</v>
      </c>
      <c r="E85" s="319"/>
      <c r="F85" s="46">
        <f>Details!W87</f>
        <v>0</v>
      </c>
      <c r="G85" s="3"/>
    </row>
    <row r="86" spans="1:8" ht="18.75">
      <c r="A86" s="284"/>
      <c r="B86" s="285">
        <f>Details!B88</f>
        <v>0</v>
      </c>
      <c r="C86" s="142">
        <f>Details!I88</f>
        <v>0</v>
      </c>
      <c r="D86" s="143">
        <f>Details!T88</f>
        <v>0</v>
      </c>
      <c r="E86" s="319"/>
      <c r="F86" s="46">
        <f>Details!W88</f>
        <v>0</v>
      </c>
      <c r="G86" s="3"/>
    </row>
    <row r="87" spans="1:8" ht="18.75">
      <c r="A87" s="306"/>
      <c r="B87" s="300" t="str">
        <f>Details!B89</f>
        <v>E. COOPERATIVE FUNDS</v>
      </c>
      <c r="C87" s="142">
        <f>Details!I89</f>
        <v>403819.10000000003</v>
      </c>
      <c r="D87" s="143">
        <f>Details!T89</f>
        <v>918475.7</v>
      </c>
      <c r="E87" s="319">
        <f>D87/F87</f>
        <v>0.37937864518793885</v>
      </c>
      <c r="F87" s="46">
        <f>Details!W89</f>
        <v>2421000</v>
      </c>
      <c r="G87" s="3"/>
    </row>
    <row r="88" spans="1:8" ht="37.5">
      <c r="A88" s="284"/>
      <c r="B88" s="302" t="str">
        <f>Details!B90</f>
        <v>Association contributions - 3% of tithes &amp; SS, thanksgiving and general offerings</v>
      </c>
      <c r="C88" s="148">
        <f>Details!I90</f>
        <v>21152.61</v>
      </c>
      <c r="D88" s="144">
        <f>Details!T90</f>
        <v>91847.51999999999</v>
      </c>
      <c r="E88" s="321">
        <f>D88/F88</f>
        <v>0.37937843866171</v>
      </c>
      <c r="F88" s="46">
        <f>Details!W90</f>
        <v>242100</v>
      </c>
      <c r="G88" s="3"/>
    </row>
    <row r="89" spans="1:8" ht="37.5">
      <c r="A89" s="284"/>
      <c r="B89" s="302" t="str">
        <f>Details!B91</f>
        <v>Conference contributions - 7% of tithes &amp;  SS, thanksgiving and general offerings</v>
      </c>
      <c r="C89" s="148">
        <f>Details!I91</f>
        <v>49356.09</v>
      </c>
      <c r="D89" s="144">
        <f>Details!T91</f>
        <v>214310.88</v>
      </c>
      <c r="E89" s="321">
        <f>D89/F89</f>
        <v>0.37937843866171006</v>
      </c>
      <c r="F89" s="46">
        <f>Details!W91</f>
        <v>564900</v>
      </c>
      <c r="G89" s="3"/>
      <c r="H89" s="2">
        <f>D89-G89</f>
        <v>214310.88</v>
      </c>
    </row>
    <row r="90" spans="1:8" ht="37.5">
      <c r="A90" s="284"/>
      <c r="B90" s="302" t="str">
        <f>Details!B92</f>
        <v>Convention contributions - 20% of tithes &amp; SS, thanksgiving and general  offerings</v>
      </c>
      <c r="C90" s="148">
        <f>Details!I92</f>
        <v>333310.40000000002</v>
      </c>
      <c r="D90" s="144">
        <f>Details!T92</f>
        <v>612317.30000000005</v>
      </c>
      <c r="E90" s="321">
        <f>D90/F90</f>
        <v>0.37937874845105329</v>
      </c>
      <c r="F90" s="46">
        <f>Details!W92</f>
        <v>1614000</v>
      </c>
      <c r="G90" s="3"/>
      <c r="H90" s="2">
        <f>D90-G90</f>
        <v>612317.30000000005</v>
      </c>
    </row>
    <row r="91" spans="1:8" ht="18.75">
      <c r="A91" s="284"/>
      <c r="B91" s="285"/>
      <c r="C91" s="142"/>
      <c r="D91" s="143"/>
      <c r="E91" s="319"/>
      <c r="F91" s="46"/>
      <c r="G91" s="3"/>
    </row>
    <row r="92" spans="1:8" ht="18.75">
      <c r="A92" s="306"/>
      <c r="B92" s="300" t="str">
        <f>Details!B94</f>
        <v>F. DESIGNATED SAVINGS</v>
      </c>
      <c r="C92" s="141">
        <f>Details!I94</f>
        <v>100000</v>
      </c>
      <c r="D92" s="146">
        <f>Details!T94</f>
        <v>0</v>
      </c>
      <c r="E92" s="319"/>
      <c r="F92" s="46"/>
      <c r="G92" s="3"/>
    </row>
    <row r="93" spans="1:8" ht="18.75">
      <c r="A93" s="284"/>
      <c r="B93" s="285" t="str">
        <f>Details!B95</f>
        <v>Pastorium (rent, development of land etc.)</v>
      </c>
      <c r="C93" s="142">
        <f>Details!I95</f>
        <v>0</v>
      </c>
      <c r="D93" s="143">
        <f>Details!T95</f>
        <v>0</v>
      </c>
      <c r="E93" s="319"/>
      <c r="F93" s="46"/>
      <c r="G93" s="3"/>
    </row>
    <row r="94" spans="1:8" ht="18.75">
      <c r="A94" s="284"/>
      <c r="B94" s="285" t="str">
        <f>Details!B96</f>
        <v>New auditorium</v>
      </c>
      <c r="C94" s="142">
        <f>Details!I96</f>
        <v>100000</v>
      </c>
      <c r="D94" s="143">
        <f>Details!T96</f>
        <v>0</v>
      </c>
      <c r="E94" s="319"/>
      <c r="F94" s="46"/>
      <c r="G94" s="3"/>
    </row>
    <row r="95" spans="1:8" ht="21.75" customHeight="1">
      <c r="A95" s="284"/>
      <c r="B95" s="285"/>
      <c r="C95" s="142">
        <f>Details!I97</f>
        <v>0</v>
      </c>
      <c r="D95" s="143"/>
      <c r="E95" s="319"/>
      <c r="F95" s="46"/>
      <c r="G95" s="3"/>
    </row>
    <row r="96" spans="1:8" ht="18.75">
      <c r="A96" s="306"/>
      <c r="B96" s="300" t="str">
        <f>Details!B98</f>
        <v>Total Expenditure</v>
      </c>
      <c r="C96" s="141">
        <f>Details!I98</f>
        <v>1735676.56</v>
      </c>
      <c r="D96" s="146">
        <f>Details!T98</f>
        <v>7702532.8292500004</v>
      </c>
      <c r="E96" s="322">
        <f>D96/F96</f>
        <v>0.54884751485968475</v>
      </c>
      <c r="F96" s="46">
        <f>Details!W98</f>
        <v>14034012.4</v>
      </c>
      <c r="G96" s="3"/>
      <c r="H96" s="2">
        <f>D96-G96</f>
        <v>7702532.8292500004</v>
      </c>
    </row>
    <row r="97" spans="1:8" ht="37.5">
      <c r="A97" s="306"/>
      <c r="B97" s="296" t="str">
        <f>Details!B99</f>
        <v>Balances in the church's accounts plus imprest account</v>
      </c>
      <c r="C97" s="149">
        <f>Details!I99</f>
        <v>457630.32</v>
      </c>
      <c r="D97" s="147">
        <f>Details!T99</f>
        <v>457630.32</v>
      </c>
      <c r="E97" s="319"/>
      <c r="F97" s="46">
        <f>Details!W99</f>
        <v>0</v>
      </c>
      <c r="G97" s="3"/>
    </row>
    <row r="98" spans="1:8" ht="18.75">
      <c r="A98" s="284"/>
      <c r="B98" s="285" t="str">
        <f>Details!B100</f>
        <v>First Bank of Nigeria</v>
      </c>
      <c r="C98" s="142">
        <f>Details!I100</f>
        <v>87926.99</v>
      </c>
      <c r="D98" s="143">
        <f>Details!T100</f>
        <v>87926.99</v>
      </c>
      <c r="E98" s="319"/>
      <c r="F98" s="46">
        <f>Details!W100</f>
        <v>0</v>
      </c>
      <c r="G98" s="3"/>
      <c r="H98" s="2">
        <f>D98-G98</f>
        <v>87926.99</v>
      </c>
    </row>
    <row r="99" spans="1:8" ht="17.25" customHeight="1">
      <c r="A99" s="284"/>
      <c r="B99" s="285" t="str">
        <f>Details!B101</f>
        <v>Add Cash/Cheque in-transit - FBN</v>
      </c>
      <c r="C99" s="142">
        <f>Details!I101</f>
        <v>0</v>
      </c>
      <c r="D99" s="143">
        <f>Details!T101</f>
        <v>0</v>
      </c>
      <c r="E99" s="322"/>
      <c r="F99" s="46">
        <f>Details!W101</f>
        <v>0</v>
      </c>
      <c r="G99" s="3"/>
      <c r="H99" s="2">
        <f>D99-G99</f>
        <v>0</v>
      </c>
    </row>
    <row r="100" spans="1:8" ht="18.75">
      <c r="A100" s="284"/>
      <c r="B100" s="285" t="str">
        <f>Details!B102</f>
        <v>Less Unpresented cheques - FBN</v>
      </c>
      <c r="C100" s="142">
        <f>Details!I102</f>
        <v>-2500</v>
      </c>
      <c r="D100" s="143">
        <f>Details!T102</f>
        <v>0</v>
      </c>
      <c r="E100" s="327"/>
      <c r="F100" s="46">
        <f>Details!W102</f>
        <v>0</v>
      </c>
      <c r="G100" s="3"/>
    </row>
    <row r="101" spans="1:8" ht="21.75" customHeight="1" thickBot="1">
      <c r="A101" s="284"/>
      <c r="B101" s="285" t="str">
        <f>Details!B103</f>
        <v>Randalpha MFB</v>
      </c>
      <c r="C101" s="142">
        <f>Details!I103</f>
        <v>49476.14</v>
      </c>
      <c r="D101" s="143">
        <f>Details!T103</f>
        <v>49476.14</v>
      </c>
      <c r="E101" s="328"/>
      <c r="F101" s="46">
        <f>Details!W103</f>
        <v>0</v>
      </c>
      <c r="G101" s="136"/>
      <c r="H101" s="137"/>
    </row>
    <row r="102" spans="1:8" ht="19.5" thickTop="1">
      <c r="A102" s="284"/>
      <c r="B102" s="285" t="str">
        <f>Details!B104</f>
        <v>Access Bank</v>
      </c>
      <c r="C102" s="142">
        <f>Details!I104</f>
        <v>322727.19</v>
      </c>
      <c r="D102" s="143">
        <f>Details!T104</f>
        <v>322727.19</v>
      </c>
      <c r="E102" s="329"/>
      <c r="F102" s="46">
        <f>Details!W104</f>
        <v>0</v>
      </c>
    </row>
    <row r="103" spans="1:8" ht="18.75">
      <c r="A103" s="284"/>
      <c r="B103" s="285" t="str">
        <f>Details!B105</f>
        <v>Add Cash/Cheque in-transit - Access Bank</v>
      </c>
      <c r="C103" s="142">
        <f>Details!I105</f>
        <v>0</v>
      </c>
      <c r="D103" s="143">
        <f>Details!T105</f>
        <v>0</v>
      </c>
      <c r="E103" s="329"/>
      <c r="F103" s="46">
        <f>Details!W105</f>
        <v>0</v>
      </c>
    </row>
    <row r="104" spans="1:8" ht="18.75">
      <c r="A104" s="284"/>
      <c r="B104" s="285" t="str">
        <f>Details!B106</f>
        <v>Less Uncleared cheque - Access Bank</v>
      </c>
      <c r="C104" s="142">
        <f>Details!I106</f>
        <v>0</v>
      </c>
      <c r="D104" s="143">
        <f>Details!T106</f>
        <v>0</v>
      </c>
      <c r="E104" s="329"/>
      <c r="F104" s="46">
        <f>Details!W106</f>
        <v>0</v>
      </c>
    </row>
    <row r="105" spans="1:8" ht="18.75">
      <c r="A105" s="284"/>
      <c r="B105" s="285" t="str">
        <f>Details!B107</f>
        <v>Imprest account (cash on hand)</v>
      </c>
      <c r="C105" s="142">
        <f>Details!I107</f>
        <v>0</v>
      </c>
      <c r="D105" s="143">
        <f>Details!T107</f>
        <v>0</v>
      </c>
      <c r="E105" s="329"/>
      <c r="F105" s="46">
        <f>Details!W107</f>
        <v>0</v>
      </c>
    </row>
    <row r="106" spans="1:8" ht="18.75">
      <c r="A106" s="306"/>
      <c r="B106" s="300" t="str">
        <f>Details!B108</f>
        <v>CONSOLIDATED INCOME &amp; EXPENDITURE REPORT</v>
      </c>
      <c r="C106" s="142">
        <f>Details!I108</f>
        <v>0</v>
      </c>
      <c r="D106" s="143"/>
      <c r="E106" s="329"/>
      <c r="F106" s="46">
        <f>Details!W108</f>
        <v>0</v>
      </c>
    </row>
    <row r="107" spans="1:8" ht="37.5">
      <c r="A107" s="284"/>
      <c r="B107" s="296" t="str">
        <f>Details!B109</f>
        <v>Income from all sources, including B/F from 2020</v>
      </c>
      <c r="C107" s="149">
        <f>Details!I109</f>
        <v>2093306.8800000001</v>
      </c>
      <c r="D107" s="147">
        <f>Details!T109</f>
        <v>8160163.1500000004</v>
      </c>
      <c r="E107" s="330">
        <f>D107/F107</f>
        <v>0.65330572552695731</v>
      </c>
      <c r="F107" s="46">
        <f>Details!W109</f>
        <v>12490573.450000001</v>
      </c>
    </row>
    <row r="108" spans="1:8" ht="18.75">
      <c r="A108" s="284"/>
      <c r="B108" s="285" t="str">
        <f>Details!B110</f>
        <v>Total expenditure on new auditorium</v>
      </c>
      <c r="C108" s="142">
        <f>Details!I110</f>
        <v>539527</v>
      </c>
      <c r="D108" s="143">
        <f>Details!T110</f>
        <v>3081766.88</v>
      </c>
      <c r="E108" s="329">
        <f>D108/F108</f>
        <v>0.88000196459166191</v>
      </c>
      <c r="F108" s="46">
        <f>Details!W110</f>
        <v>3502000</v>
      </c>
    </row>
    <row r="109" spans="1:8" ht="37.5">
      <c r="A109" s="284"/>
      <c r="B109" s="302" t="str">
        <f>Details!B111</f>
        <v>General expenditure including amount transferred to building fund</v>
      </c>
      <c r="C109" s="148">
        <f>Details!I111</f>
        <v>1196149.56</v>
      </c>
      <c r="D109" s="144">
        <f>Details!T111</f>
        <v>5320765.9492499996</v>
      </c>
      <c r="E109" s="331">
        <f>D109/F109</f>
        <v>0.37913362177519522</v>
      </c>
      <c r="F109" s="46">
        <f>Details!W111</f>
        <v>14034012.4</v>
      </c>
    </row>
    <row r="110" spans="1:8" ht="37.5">
      <c r="A110" s="284"/>
      <c r="B110" s="296" t="str">
        <f>Details!B112</f>
        <v>Total expenditure: new auditorium &amp; general</v>
      </c>
      <c r="C110" s="149">
        <f>Details!I112</f>
        <v>1735676.56</v>
      </c>
      <c r="D110" s="147">
        <f>Details!T112</f>
        <v>7702532.8292500004</v>
      </c>
      <c r="E110" s="330">
        <f>D110/F110</f>
        <v>0.54884751485968475</v>
      </c>
      <c r="F110" s="46">
        <f>Details!W112</f>
        <v>14034012.4</v>
      </c>
    </row>
    <row r="111" spans="1:8" ht="15.75">
      <c r="A111" s="19"/>
      <c r="B111" s="24" t="str">
        <f>Details!B113</f>
        <v>Control</v>
      </c>
      <c r="C111" s="142">
        <f>Details!I113</f>
        <v>-100000</v>
      </c>
      <c r="D111" s="143">
        <f>Details!T113</f>
        <v>7.4999965727329254E-4</v>
      </c>
      <c r="E111" s="81"/>
    </row>
    <row r="112" spans="1:8" ht="46.5" customHeight="1" thickBot="1">
      <c r="A112" s="33"/>
      <c r="B112" s="757"/>
      <c r="C112" s="757"/>
      <c r="D112" s="757"/>
      <c r="E112" s="758"/>
    </row>
    <row r="113" ht="15.75" thickTop="1"/>
  </sheetData>
  <mergeCells count="4">
    <mergeCell ref="B112:E112"/>
    <mergeCell ref="A1:D1"/>
    <mergeCell ref="A2:D2"/>
    <mergeCell ref="A3:D3"/>
  </mergeCells>
  <pageMargins left="0.7" right="0.7" top="0.75" bottom="0.75" header="0.3" footer="0.3"/>
  <pageSetup paperSize="9" scale="68" fitToHeight="2" orientation="portrait" horizontalDpi="300" verticalDpi="300" r:id="rId1"/>
  <headerFooter>
    <oddFooter>&amp;LTreasurer's Monthly Report June 2019&amp;R&amp;P</oddFooter>
  </headerFooter>
  <rowBreaks count="1" manualBreakCount="1">
    <brk id="59" max="3" man="1"/>
  </rowBreaks>
</worksheet>
</file>

<file path=xl/worksheets/sheet13.xml><?xml version="1.0" encoding="utf-8"?>
<worksheet xmlns="http://schemas.openxmlformats.org/spreadsheetml/2006/main" xmlns:r="http://schemas.openxmlformats.org/officeDocument/2006/relationships">
  <dimension ref="A1:I110"/>
  <sheetViews>
    <sheetView view="pageBreakPreview" topLeftCell="A91" zoomScale="60" workbookViewId="0">
      <selection activeCell="D95" sqref="D95"/>
    </sheetView>
  </sheetViews>
  <sheetFormatPr defaultRowHeight="15.75"/>
  <cols>
    <col min="1" max="1" width="8.28515625" customWidth="1"/>
    <col min="2" max="2" width="51.85546875" customWidth="1"/>
    <col min="3" max="3" width="26.85546875" customWidth="1"/>
    <col min="4" max="4" width="23.42578125" style="367" customWidth="1"/>
    <col min="5" max="5" width="16.28515625" style="367" customWidth="1"/>
    <col min="6" max="6" width="24" customWidth="1"/>
    <col min="7" max="7" width="15.28515625" bestFit="1" customWidth="1"/>
    <col min="8" max="8" width="14.140625" bestFit="1" customWidth="1"/>
    <col min="9" max="9" width="16.140625" bestFit="1" customWidth="1"/>
  </cols>
  <sheetData>
    <row r="1" spans="1:7" ht="18" thickTop="1">
      <c r="A1" s="735" t="s">
        <v>30</v>
      </c>
      <c r="B1" s="736"/>
      <c r="C1" s="736"/>
      <c r="D1" s="736"/>
      <c r="E1" s="737"/>
    </row>
    <row r="2" spans="1:7" ht="17.25">
      <c r="A2" s="738" t="s">
        <v>163</v>
      </c>
      <c r="B2" s="759"/>
      <c r="C2" s="759"/>
      <c r="D2" s="759"/>
      <c r="E2" s="740"/>
    </row>
    <row r="3" spans="1:7" ht="18" thickBot="1">
      <c r="A3" s="760" t="s">
        <v>171</v>
      </c>
      <c r="B3" s="761"/>
      <c r="C3" s="761"/>
      <c r="D3" s="761"/>
      <c r="E3" s="762"/>
    </row>
    <row r="4" spans="1:7" ht="22.5" customHeight="1" thickTop="1" thickBot="1">
      <c r="A4" s="18"/>
      <c r="B4" s="150" t="s">
        <v>40</v>
      </c>
      <c r="C4" s="3"/>
      <c r="E4" s="370"/>
    </row>
    <row r="5" spans="1:7" ht="61.5" customHeight="1" thickTop="1">
      <c r="A5" s="151" t="s">
        <v>43</v>
      </c>
      <c r="B5" s="150"/>
      <c r="C5" s="152" t="s">
        <v>171</v>
      </c>
      <c r="D5" s="357" t="s">
        <v>41</v>
      </c>
      <c r="E5" s="350" t="s">
        <v>68</v>
      </c>
      <c r="F5" s="38" t="s">
        <v>69</v>
      </c>
    </row>
    <row r="6" spans="1:7" ht="18.75">
      <c r="A6" s="155">
        <v>1</v>
      </c>
      <c r="B6" s="285" t="str">
        <f>Details!B6</f>
        <v>Bank interest</v>
      </c>
      <c r="C6" s="142">
        <f>Details!K6</f>
        <v>0</v>
      </c>
      <c r="D6" s="358">
        <f>Details!U6</f>
        <v>528.69999999999993</v>
      </c>
      <c r="E6" s="351">
        <f t="shared" ref="E6:E69" si="0">D6/F6</f>
        <v>0.88116666666666654</v>
      </c>
      <c r="F6" s="46">
        <f>Details!W6</f>
        <v>600</v>
      </c>
      <c r="G6" s="3">
        <v>2283922</v>
      </c>
    </row>
    <row r="7" spans="1:7" ht="18.75">
      <c r="A7" s="155">
        <v>2</v>
      </c>
      <c r="B7" s="285" t="str">
        <f>Details!B7</f>
        <v>Benevolence</v>
      </c>
      <c r="C7" s="142">
        <f>Details!K7</f>
        <v>0</v>
      </c>
      <c r="D7" s="358">
        <f>Details!U7</f>
        <v>121770</v>
      </c>
      <c r="E7" s="351">
        <f t="shared" si="0"/>
        <v>0.81179999999999997</v>
      </c>
      <c r="F7" s="46">
        <f>Details!W7</f>
        <v>150000</v>
      </c>
      <c r="G7" s="3">
        <v>330670</v>
      </c>
    </row>
    <row r="8" spans="1:7" ht="18.75">
      <c r="A8" s="155">
        <v>3</v>
      </c>
      <c r="B8" s="285" t="str">
        <f>Details!B8</f>
        <v>Building (cash and kind)</v>
      </c>
      <c r="C8" s="142">
        <f>Details!K8</f>
        <v>0</v>
      </c>
      <c r="D8" s="358">
        <f>Details!U8</f>
        <v>943800</v>
      </c>
      <c r="E8" s="351">
        <f t="shared" si="0"/>
        <v>0.47189999999999999</v>
      </c>
      <c r="F8" s="46">
        <f>Details!W8</f>
        <v>2000000</v>
      </c>
      <c r="G8" s="3">
        <v>142750</v>
      </c>
    </row>
    <row r="9" spans="1:7" ht="18.75">
      <c r="A9" s="155">
        <v>4</v>
      </c>
      <c r="B9" s="285" t="str">
        <f>Details!B9</f>
        <v>Designated offering towards borehole</v>
      </c>
      <c r="C9" s="142">
        <f>Details!K9</f>
        <v>0</v>
      </c>
      <c r="D9" s="358">
        <f>Details!U9</f>
        <v>418000</v>
      </c>
      <c r="E9" s="351"/>
      <c r="F9" s="46">
        <f>Details!W9</f>
        <v>100000</v>
      </c>
      <c r="G9" s="3">
        <v>56630</v>
      </c>
    </row>
    <row r="10" spans="1:7" ht="18.75">
      <c r="A10" s="155">
        <v>4</v>
      </c>
      <c r="B10" s="285" t="str">
        <f>Details!B10</f>
        <v>Designated offering towards Praise Festival</v>
      </c>
      <c r="C10" s="142">
        <f>Details!K10</f>
        <v>0</v>
      </c>
      <c r="D10" s="358">
        <f>Details!U10</f>
        <v>0</v>
      </c>
      <c r="E10" s="351"/>
      <c r="F10" s="46">
        <f>Details!W10</f>
        <v>0</v>
      </c>
      <c r="G10" s="3">
        <v>385703</v>
      </c>
    </row>
    <row r="11" spans="1:7" ht="18.75">
      <c r="A11" s="155">
        <v>5</v>
      </c>
      <c r="B11" s="285" t="str">
        <f>Details!B11</f>
        <v>Foreign Mission offering</v>
      </c>
      <c r="C11" s="142">
        <f>Details!K11</f>
        <v>0</v>
      </c>
      <c r="D11" s="358">
        <f>Details!U11</f>
        <v>0</v>
      </c>
      <c r="E11" s="351"/>
      <c r="F11" s="46">
        <f>Details!W11</f>
        <v>0</v>
      </c>
      <c r="G11" s="3">
        <v>40885</v>
      </c>
    </row>
    <row r="12" spans="1:7" ht="18.75">
      <c r="A12" s="156">
        <v>6</v>
      </c>
      <c r="B12" s="285" t="str">
        <f>Details!B12</f>
        <v>Home Mission offering</v>
      </c>
      <c r="C12" s="142">
        <f>Details!K12</f>
        <v>0</v>
      </c>
      <c r="D12" s="358">
        <f>Details!U12</f>
        <v>100000</v>
      </c>
      <c r="E12" s="351"/>
      <c r="F12" s="46">
        <f>Details!W12</f>
        <v>300000</v>
      </c>
      <c r="G12" s="3">
        <v>20000</v>
      </c>
    </row>
    <row r="13" spans="1:7" ht="18.75">
      <c r="A13" s="155">
        <v>8</v>
      </c>
      <c r="B13" s="285" t="str">
        <f>Details!B14</f>
        <v>Designated - Teenagers' Church</v>
      </c>
      <c r="C13" s="142">
        <f>Details!K14</f>
        <v>0</v>
      </c>
      <c r="D13" s="358">
        <f>Details!U14</f>
        <v>0</v>
      </c>
      <c r="E13" s="351"/>
      <c r="F13" s="46">
        <f>Details!W14</f>
        <v>50000</v>
      </c>
      <c r="G13" s="3">
        <v>739.48</v>
      </c>
    </row>
    <row r="14" spans="1:7" ht="18.75">
      <c r="A14" s="155">
        <v>7</v>
      </c>
      <c r="B14" s="285" t="str">
        <f>Details!B15</f>
        <v>Offering</v>
      </c>
      <c r="C14" s="142">
        <f>Details!K15</f>
        <v>0</v>
      </c>
      <c r="D14" s="358">
        <f>Details!U15</f>
        <v>598815</v>
      </c>
      <c r="E14" s="351">
        <f t="shared" si="0"/>
        <v>0.59881499999999999</v>
      </c>
      <c r="F14" s="46">
        <f>Details!W15</f>
        <v>1000000</v>
      </c>
      <c r="G14" s="3">
        <v>45000</v>
      </c>
    </row>
    <row r="15" spans="1:7" ht="18.75">
      <c r="A15" s="155">
        <v>8</v>
      </c>
      <c r="B15" s="285" t="str">
        <f>Details!B16</f>
        <v xml:space="preserve">Sunday School </v>
      </c>
      <c r="C15" s="142">
        <f>Details!K16</f>
        <v>0</v>
      </c>
      <c r="D15" s="358">
        <f>Details!U16</f>
        <v>125430</v>
      </c>
      <c r="E15" s="351">
        <f t="shared" si="0"/>
        <v>0.73782352941176466</v>
      </c>
      <c r="F15" s="46">
        <f>Details!W16</f>
        <v>170000</v>
      </c>
      <c r="G15" s="3">
        <v>20500</v>
      </c>
    </row>
    <row r="16" spans="1:7" ht="18.75">
      <c r="A16" s="155">
        <v>9</v>
      </c>
      <c r="B16" s="285" t="str">
        <f>Details!B17</f>
        <v>Thanksgiving</v>
      </c>
      <c r="C16" s="142">
        <f>Details!K17</f>
        <v>0</v>
      </c>
      <c r="D16" s="358">
        <f>Details!U17</f>
        <v>423875</v>
      </c>
      <c r="E16" s="351">
        <f t="shared" si="0"/>
        <v>1.0596874999999999</v>
      </c>
      <c r="F16" s="46">
        <f>Details!W17</f>
        <v>400000</v>
      </c>
      <c r="G16" s="3">
        <v>600000</v>
      </c>
    </row>
    <row r="17" spans="1:9" ht="18.75">
      <c r="A17" s="155">
        <v>10</v>
      </c>
      <c r="B17" s="285" t="str">
        <f>Details!B18</f>
        <v>Tithes</v>
      </c>
      <c r="C17" s="142">
        <f>Details!K18</f>
        <v>0</v>
      </c>
      <c r="D17" s="359">
        <f>Details!U18</f>
        <v>3607971</v>
      </c>
      <c r="E17" s="351">
        <f t="shared" si="0"/>
        <v>0.55507246153846157</v>
      </c>
      <c r="F17" s="46">
        <f>Details!W18</f>
        <v>6500000</v>
      </c>
      <c r="G17" s="3">
        <v>234907.01</v>
      </c>
    </row>
    <row r="18" spans="1:9" ht="36.75" customHeight="1">
      <c r="A18" s="155"/>
      <c r="B18" s="372" t="str">
        <f>Details!B19</f>
        <v>Total income this reporting period</v>
      </c>
      <c r="C18" s="325">
        <f>Details!K19</f>
        <v>0</v>
      </c>
      <c r="D18" s="360">
        <f>Details!U19</f>
        <v>6340189.7000000002</v>
      </c>
      <c r="E18" s="352">
        <f t="shared" si="0"/>
        <v>0.59417368282945671</v>
      </c>
      <c r="F18" s="46">
        <f>Details!W19</f>
        <v>10670600</v>
      </c>
      <c r="G18" s="3">
        <v>17232.09</v>
      </c>
    </row>
    <row r="19" spans="1:9" ht="36.75" customHeight="1">
      <c r="A19" s="155"/>
      <c r="B19" s="326" t="str">
        <f>Details!B20</f>
        <v>B/F from previous month/quarter: First Bank of Nigeria</v>
      </c>
      <c r="C19" s="148">
        <f>Details!K20</f>
        <v>85426.99</v>
      </c>
      <c r="D19" s="359">
        <f>Details!U20</f>
        <v>286762.07</v>
      </c>
      <c r="E19" s="353"/>
      <c r="F19" s="46">
        <f>Details!W20</f>
        <v>286762.07</v>
      </c>
      <c r="G19" s="3">
        <v>245709</v>
      </c>
    </row>
    <row r="20" spans="1:9" ht="18.75">
      <c r="A20" s="155"/>
      <c r="B20" s="326" t="str">
        <f>Details!B21</f>
        <v xml:space="preserve">                               Randalapha MFB</v>
      </c>
      <c r="C20" s="148">
        <f>Details!K21</f>
        <v>49476.14</v>
      </c>
      <c r="D20" s="358">
        <f>Details!U21</f>
        <v>16787.310000000001</v>
      </c>
      <c r="E20" s="351"/>
      <c r="F20" s="46">
        <f>Details!W21</f>
        <v>16787.310000000001</v>
      </c>
      <c r="G20" s="3">
        <v>23250</v>
      </c>
    </row>
    <row r="21" spans="1:9" ht="18.75">
      <c r="A21" s="155"/>
      <c r="B21" s="326" t="str">
        <f>Details!B22</f>
        <v xml:space="preserve">                               Access Bank (Building fund)</v>
      </c>
      <c r="C21" s="148">
        <f>Details!K22</f>
        <v>322727.19</v>
      </c>
      <c r="D21" s="359">
        <f>Details!U22</f>
        <v>1513424.07</v>
      </c>
      <c r="E21" s="351"/>
      <c r="F21" s="46">
        <f>Details!W22</f>
        <v>1513424.07</v>
      </c>
      <c r="G21" s="3">
        <v>521098.1</v>
      </c>
    </row>
    <row r="22" spans="1:9" ht="37.5">
      <c r="A22" s="155"/>
      <c r="B22" s="326" t="str">
        <f>Details!B23</f>
        <v xml:space="preserve">                               Imprest Account (Cash on hand)</v>
      </c>
      <c r="C22" s="148">
        <f>Details!K23</f>
        <v>0</v>
      </c>
      <c r="D22" s="359">
        <f>Details!U23</f>
        <v>3000</v>
      </c>
      <c r="E22" s="351"/>
      <c r="F22" s="46">
        <f>Details!W23</f>
        <v>3000</v>
      </c>
      <c r="G22" s="100">
        <v>4447897.58</v>
      </c>
      <c r="I22" s="2">
        <f>D22-G22</f>
        <v>-4444897.58</v>
      </c>
    </row>
    <row r="23" spans="1:9" ht="25.5" customHeight="1">
      <c r="A23" s="155"/>
      <c r="B23" s="312" t="str">
        <f>Details!B24</f>
        <v>Total B/F from 2020 or last month or quarter</v>
      </c>
      <c r="C23" s="148">
        <f>Details!K24</f>
        <v>457630.32</v>
      </c>
      <c r="D23" s="359">
        <f>Details!U24</f>
        <v>1819973.4500000002</v>
      </c>
      <c r="E23" s="354"/>
      <c r="F23" s="46">
        <f>Details!W24</f>
        <v>1819973.4500000002</v>
      </c>
      <c r="G23" s="3"/>
    </row>
    <row r="24" spans="1:9" ht="24.75" customHeight="1">
      <c r="A24" s="155"/>
      <c r="B24" s="300" t="str">
        <f>Details!B25</f>
        <v>Total Income/Available cash</v>
      </c>
      <c r="C24" s="141">
        <f>Details!K25</f>
        <v>457630.32</v>
      </c>
      <c r="D24" s="360">
        <f>Details!U25</f>
        <v>8160163.1500000004</v>
      </c>
      <c r="E24" s="352">
        <f t="shared" si="0"/>
        <v>0.65330572552695731</v>
      </c>
      <c r="F24" s="46">
        <f>Details!W25</f>
        <v>12490573.450000001</v>
      </c>
      <c r="G24" s="3"/>
    </row>
    <row r="25" spans="1:9" ht="18.75">
      <c r="A25" s="155"/>
      <c r="B25" s="300" t="str">
        <f>Details!B26</f>
        <v>EXPENDITURE</v>
      </c>
      <c r="C25" s="142"/>
      <c r="D25" s="358"/>
      <c r="E25" s="351"/>
      <c r="F25" s="46">
        <f>Details!W26</f>
        <v>0</v>
      </c>
      <c r="G25" s="3"/>
      <c r="I25">
        <v>-342482.58</v>
      </c>
    </row>
    <row r="26" spans="1:9" ht="18.75">
      <c r="A26" s="155"/>
      <c r="B26" s="300" t="str">
        <f>Details!B27</f>
        <v>A. CHURCH MINISTRIES</v>
      </c>
      <c r="C26" s="141">
        <f>Details!K27</f>
        <v>0</v>
      </c>
      <c r="D26" s="361">
        <f>Details!U27</f>
        <v>1016150</v>
      </c>
      <c r="E26" s="354">
        <f t="shared" si="0"/>
        <v>0.33730000663878379</v>
      </c>
      <c r="F26" s="46">
        <f>Details!W27</f>
        <v>3012600</v>
      </c>
      <c r="G26" s="3">
        <v>264365</v>
      </c>
      <c r="I26" s="2">
        <f>SUM(I22:I25)</f>
        <v>-4787380.16</v>
      </c>
    </row>
    <row r="27" spans="1:9" ht="18.75">
      <c r="A27" s="155"/>
      <c r="B27" s="285" t="str">
        <f>Details!B28</f>
        <v>Benevolence</v>
      </c>
      <c r="C27" s="142">
        <f>Details!K28</f>
        <v>0</v>
      </c>
      <c r="D27" s="358">
        <f>Details!U28</f>
        <v>193940</v>
      </c>
      <c r="E27" s="351">
        <f t="shared" si="0"/>
        <v>0.543249299719888</v>
      </c>
      <c r="F27" s="46">
        <f>Details!W28</f>
        <v>357000</v>
      </c>
      <c r="G27" s="3">
        <v>16320</v>
      </c>
    </row>
    <row r="28" spans="1:9" ht="18.75">
      <c r="A28" s="155"/>
      <c r="B28" s="285" t="str">
        <f>Details!B29</f>
        <v>Childrens' Department</v>
      </c>
      <c r="C28" s="142">
        <f>Details!K29</f>
        <v>0</v>
      </c>
      <c r="D28" s="358">
        <f>Details!U29</f>
        <v>98380</v>
      </c>
      <c r="E28" s="351">
        <f t="shared" si="0"/>
        <v>0.37265151515151518</v>
      </c>
      <c r="F28" s="46">
        <f>Details!W29</f>
        <v>264000</v>
      </c>
      <c r="G28" s="3">
        <v>85550</v>
      </c>
    </row>
    <row r="29" spans="1:9" ht="18.75">
      <c r="A29" s="155"/>
      <c r="B29" s="285" t="str">
        <f>Details!B30</f>
        <v>Church decorations</v>
      </c>
      <c r="C29" s="142">
        <f>Details!K30</f>
        <v>0</v>
      </c>
      <c r="D29" s="358">
        <f>Details!U30</f>
        <v>0</v>
      </c>
      <c r="E29" s="351">
        <f t="shared" si="0"/>
        <v>0</v>
      </c>
      <c r="F29" s="46">
        <f>Details!W30</f>
        <v>25000</v>
      </c>
      <c r="G29" s="3">
        <v>44000</v>
      </c>
    </row>
    <row r="30" spans="1:9" ht="18.75">
      <c r="A30" s="155"/>
      <c r="B30" s="285" t="str">
        <f>Details!B31</f>
        <v>Church Maintenance</v>
      </c>
      <c r="C30" s="142">
        <f>Details!K31</f>
        <v>0</v>
      </c>
      <c r="D30" s="358">
        <f>Details!U31</f>
        <v>0</v>
      </c>
      <c r="E30" s="351">
        <f t="shared" si="0"/>
        <v>0</v>
      </c>
      <c r="F30" s="46">
        <f>Details!W31</f>
        <v>20000</v>
      </c>
      <c r="G30" s="3">
        <v>4700</v>
      </c>
    </row>
    <row r="31" spans="1:9" ht="18.75">
      <c r="A31" s="155"/>
      <c r="B31" s="285" t="str">
        <f>Details!B33</f>
        <v>Discipleship Department</v>
      </c>
      <c r="C31" s="142">
        <f>Details!K33</f>
        <v>0</v>
      </c>
      <c r="D31" s="358">
        <f>Details!U33</f>
        <v>0</v>
      </c>
      <c r="E31" s="351">
        <f t="shared" si="0"/>
        <v>0</v>
      </c>
      <c r="F31" s="46">
        <f>Details!W33</f>
        <v>15000</v>
      </c>
      <c r="G31" s="3">
        <v>0</v>
      </c>
    </row>
    <row r="32" spans="1:9" ht="18.75" hidden="1">
      <c r="A32" s="155"/>
      <c r="B32" s="285" t="str">
        <f>Details!B34</f>
        <v>Drama Committee</v>
      </c>
      <c r="C32" s="142">
        <f>Details!K34</f>
        <v>0</v>
      </c>
      <c r="D32" s="358">
        <f>Details!U34</f>
        <v>10000</v>
      </c>
      <c r="E32" s="351">
        <f t="shared" si="0"/>
        <v>0.2857142857142857</v>
      </c>
      <c r="F32" s="46">
        <f>Details!W34</f>
        <v>35000</v>
      </c>
      <c r="G32" s="3">
        <v>0</v>
      </c>
    </row>
    <row r="33" spans="1:7" ht="37.5" hidden="1">
      <c r="A33" s="155"/>
      <c r="B33" s="302" t="str">
        <f>Details!B35</f>
        <v>End of year outreach - Heaven's Link Praise Festival</v>
      </c>
      <c r="C33" s="145">
        <f>Details!K35</f>
        <v>0</v>
      </c>
      <c r="D33" s="362">
        <f>Details!U35</f>
        <v>0</v>
      </c>
      <c r="E33" s="353">
        <f t="shared" si="0"/>
        <v>0</v>
      </c>
      <c r="F33" s="344">
        <f>Details!W35</f>
        <v>130000</v>
      </c>
      <c r="G33" s="3">
        <v>23045</v>
      </c>
    </row>
    <row r="34" spans="1:7" ht="18.75" hidden="1">
      <c r="A34" s="155"/>
      <c r="B34" s="285" t="str">
        <f>Details!B36</f>
        <v>Evangelism Committee</v>
      </c>
      <c r="C34" s="142">
        <f>Details!K36</f>
        <v>0</v>
      </c>
      <c r="D34" s="358">
        <f>Details!U36</f>
        <v>256400</v>
      </c>
      <c r="E34" s="351">
        <f t="shared" si="0"/>
        <v>0.51280000000000003</v>
      </c>
      <c r="F34" s="46">
        <f>Details!W36</f>
        <v>500000</v>
      </c>
      <c r="G34" s="3">
        <v>15800</v>
      </c>
    </row>
    <row r="35" spans="1:7" ht="18.75" hidden="1">
      <c r="A35" s="155"/>
      <c r="B35" s="285" t="str">
        <f>Details!B37</f>
        <v>Exemplary Youth Award</v>
      </c>
      <c r="C35" s="142">
        <f>Details!K37</f>
        <v>0</v>
      </c>
      <c r="D35" s="358">
        <f>Details!U37</f>
        <v>0</v>
      </c>
      <c r="E35" s="351">
        <f t="shared" si="0"/>
        <v>0</v>
      </c>
      <c r="F35" s="46">
        <f>Details!W37</f>
        <v>75000</v>
      </c>
      <c r="G35" s="3">
        <v>20780</v>
      </c>
    </row>
    <row r="36" spans="1:7" ht="18.75">
      <c r="A36" s="155"/>
      <c r="B36" s="285" t="str">
        <f>Details!B38</f>
        <v>External Affairs</v>
      </c>
      <c r="C36" s="142">
        <f>Details!K38</f>
        <v>0</v>
      </c>
      <c r="D36" s="358">
        <f>Details!U38</f>
        <v>36940</v>
      </c>
      <c r="E36" s="351">
        <f t="shared" si="0"/>
        <v>0.97210526315789469</v>
      </c>
      <c r="F36" s="46">
        <f>Details!W38</f>
        <v>38000</v>
      </c>
      <c r="G36" s="3">
        <v>0</v>
      </c>
    </row>
    <row r="37" spans="1:7" ht="18.75">
      <c r="A37" s="155"/>
      <c r="B37" s="285" t="str">
        <f>Details!B39</f>
        <v>Health Committee</v>
      </c>
      <c r="C37" s="142">
        <f>Details!K39</f>
        <v>0</v>
      </c>
      <c r="D37" s="358">
        <f>Details!U39</f>
        <v>3200</v>
      </c>
      <c r="E37" s="351">
        <f t="shared" si="0"/>
        <v>9.2753623188405798E-2</v>
      </c>
      <c r="F37" s="46">
        <f>Details!W39</f>
        <v>34500</v>
      </c>
      <c r="G37" s="3">
        <v>10070</v>
      </c>
    </row>
    <row r="38" spans="1:7" ht="18.75">
      <c r="A38" s="155"/>
      <c r="B38" s="285" t="str">
        <f>Details!B40</f>
        <v>Hospitality Committee</v>
      </c>
      <c r="C38" s="142">
        <f>Details!K40</f>
        <v>0</v>
      </c>
      <c r="D38" s="358">
        <f>Details!U40</f>
        <v>21990</v>
      </c>
      <c r="E38" s="351">
        <f t="shared" si="0"/>
        <v>8.3675799086757985E-2</v>
      </c>
      <c r="F38" s="46">
        <f>Details!W40</f>
        <v>262800</v>
      </c>
      <c r="G38" s="3">
        <v>17600</v>
      </c>
    </row>
    <row r="39" spans="1:7" ht="18.75">
      <c r="A39" s="155"/>
      <c r="B39" s="285" t="str">
        <f>Details!B41</f>
        <v>Media/Sound Unit</v>
      </c>
      <c r="C39" s="142">
        <f>Details!K41</f>
        <v>0</v>
      </c>
      <c r="D39" s="358">
        <f>Details!U41</f>
        <v>46400</v>
      </c>
      <c r="E39" s="351">
        <f t="shared" si="0"/>
        <v>0.30933333333333335</v>
      </c>
      <c r="F39" s="46">
        <f>Details!W41</f>
        <v>150000</v>
      </c>
      <c r="G39" s="3">
        <v>0</v>
      </c>
    </row>
    <row r="40" spans="1:7" ht="18.75">
      <c r="A40" s="155"/>
      <c r="B40" s="285" t="str">
        <f>Details!B42</f>
        <v>MMU</v>
      </c>
      <c r="C40" s="142">
        <f>Details!K42</f>
        <v>0</v>
      </c>
      <c r="D40" s="358">
        <f>Details!U42</f>
        <v>600</v>
      </c>
      <c r="E40" s="351">
        <f t="shared" si="0"/>
        <v>1.2E-2</v>
      </c>
      <c r="F40" s="46">
        <f>Details!W42</f>
        <v>50000</v>
      </c>
      <c r="G40" s="3">
        <v>4500</v>
      </c>
    </row>
    <row r="41" spans="1:7" ht="18.75">
      <c r="A41" s="155"/>
      <c r="B41" s="285" t="str">
        <f>Details!B43</f>
        <v>Music Department</v>
      </c>
      <c r="C41" s="142">
        <f>Details!K43</f>
        <v>0</v>
      </c>
      <c r="D41" s="358">
        <f>Details!U43</f>
        <v>49000</v>
      </c>
      <c r="E41" s="351">
        <f t="shared" si="0"/>
        <v>0.17437722419928825</v>
      </c>
      <c r="F41" s="46">
        <f>Details!W43</f>
        <v>281000</v>
      </c>
      <c r="G41" s="3">
        <v>15000</v>
      </c>
    </row>
    <row r="42" spans="1:7" ht="18.75" hidden="1">
      <c r="A42" s="155"/>
      <c r="B42" s="285" t="str">
        <f>Details!B44</f>
        <v>Nominating</v>
      </c>
      <c r="C42" s="142">
        <f>Details!K44</f>
        <v>0</v>
      </c>
      <c r="D42" s="358">
        <f>Details!U44</f>
        <v>0</v>
      </c>
      <c r="E42" s="351" t="e">
        <f t="shared" si="0"/>
        <v>#DIV/0!</v>
      </c>
      <c r="F42" s="46">
        <f>Details!W44</f>
        <v>0</v>
      </c>
      <c r="G42" s="3">
        <v>0</v>
      </c>
    </row>
    <row r="43" spans="1:7" ht="18.75">
      <c r="A43" s="155"/>
      <c r="B43" s="285" t="str">
        <f>Details!B45</f>
        <v>Property Committee</v>
      </c>
      <c r="C43" s="142">
        <f>Details!K45</f>
        <v>0</v>
      </c>
      <c r="D43" s="358">
        <f>Details!U45</f>
        <v>6000</v>
      </c>
      <c r="E43" s="351">
        <f t="shared" si="0"/>
        <v>0.03</v>
      </c>
      <c r="F43" s="46">
        <f>Details!W45</f>
        <v>200000</v>
      </c>
      <c r="G43" s="3">
        <v>1000</v>
      </c>
    </row>
    <row r="44" spans="1:7" ht="18.75">
      <c r="A44" s="155"/>
      <c r="B44" s="285" t="str">
        <f>Details!B46</f>
        <v>Personnel</v>
      </c>
      <c r="C44" s="142">
        <f>Details!K46</f>
        <v>0</v>
      </c>
      <c r="D44" s="358">
        <f>Details!U46</f>
        <v>0</v>
      </c>
      <c r="E44" s="351" t="e">
        <f t="shared" si="0"/>
        <v>#DIV/0!</v>
      </c>
      <c r="F44" s="46">
        <f>Details!W46</f>
        <v>0</v>
      </c>
      <c r="G44" s="3">
        <v>5000</v>
      </c>
    </row>
    <row r="45" spans="1:7" ht="18.75">
      <c r="A45" s="155"/>
      <c r="B45" s="285" t="str">
        <f>Details!B47</f>
        <v>Sanctuary supplies</v>
      </c>
      <c r="C45" s="142">
        <f>Details!K47</f>
        <v>0</v>
      </c>
      <c r="D45" s="358">
        <f>Details!U47</f>
        <v>75500</v>
      </c>
      <c r="E45" s="351">
        <f t="shared" si="0"/>
        <v>0.25166666666666665</v>
      </c>
      <c r="F45" s="46">
        <f>Details!W47</f>
        <v>300000</v>
      </c>
      <c r="G45" s="3">
        <v>0</v>
      </c>
    </row>
    <row r="46" spans="1:7" ht="18.75">
      <c r="A46" s="155"/>
      <c r="B46" s="285" t="str">
        <f>Details!B48</f>
        <v>Stewardship</v>
      </c>
      <c r="C46" s="142">
        <f>Details!K48</f>
        <v>0</v>
      </c>
      <c r="D46" s="358">
        <f>Details!U48</f>
        <v>0</v>
      </c>
      <c r="E46" s="351">
        <f t="shared" si="0"/>
        <v>0</v>
      </c>
      <c r="F46" s="46">
        <f>Details!W48</f>
        <v>10000</v>
      </c>
      <c r="G46" s="3">
        <v>1000</v>
      </c>
    </row>
    <row r="47" spans="1:7" ht="18.75">
      <c r="A47" s="155"/>
      <c r="B47" s="285" t="str">
        <f>Details!B49</f>
        <v xml:space="preserve">Sunday School </v>
      </c>
      <c r="C47" s="142">
        <f>Details!K49</f>
        <v>0</v>
      </c>
      <c r="D47" s="358">
        <f>Details!U49</f>
        <v>31400</v>
      </c>
      <c r="E47" s="351">
        <f t="shared" si="0"/>
        <v>0.8306878306878307</v>
      </c>
      <c r="F47" s="46">
        <f>Details!W49</f>
        <v>37800</v>
      </c>
      <c r="G47" s="3"/>
    </row>
    <row r="48" spans="1:7" ht="18.75">
      <c r="A48" s="155"/>
      <c r="B48" s="285" t="str">
        <f>Details!B50</f>
        <v>Ushers Committee</v>
      </c>
      <c r="C48" s="142">
        <f>Details!K50</f>
        <v>0</v>
      </c>
      <c r="D48" s="358">
        <f>Details!U50</f>
        <v>2500</v>
      </c>
      <c r="E48" s="351">
        <f t="shared" si="0"/>
        <v>0.3125</v>
      </c>
      <c r="F48" s="46">
        <f>Details!W50</f>
        <v>8000</v>
      </c>
      <c r="G48" s="3">
        <v>700187.39999999991</v>
      </c>
    </row>
    <row r="49" spans="1:7" ht="18.75">
      <c r="A49" s="155"/>
      <c r="B49" s="285" t="str">
        <f>Details!B51</f>
        <v>Visitation Committee</v>
      </c>
      <c r="C49" s="142">
        <f>Details!K51</f>
        <v>0</v>
      </c>
      <c r="D49" s="358">
        <f>Details!U51</f>
        <v>7500</v>
      </c>
      <c r="E49" s="351">
        <f t="shared" si="0"/>
        <v>0.46875</v>
      </c>
      <c r="F49" s="46">
        <f>Details!W51</f>
        <v>16000</v>
      </c>
      <c r="G49" s="3">
        <v>500187.39999999991</v>
      </c>
    </row>
    <row r="50" spans="1:7" ht="18.75">
      <c r="A50" s="155"/>
      <c r="B50" s="285" t="str">
        <f>Details!B52</f>
        <v>WMU</v>
      </c>
      <c r="C50" s="142">
        <f>Details!K52</f>
        <v>0</v>
      </c>
      <c r="D50" s="358">
        <f>Details!U52</f>
        <v>48000</v>
      </c>
      <c r="E50" s="351">
        <f t="shared" si="0"/>
        <v>0.59627329192546585</v>
      </c>
      <c r="F50" s="46">
        <f>Details!W52</f>
        <v>80500</v>
      </c>
      <c r="G50" s="3">
        <v>164000</v>
      </c>
    </row>
    <row r="51" spans="1:7" ht="18.75">
      <c r="A51" s="155"/>
      <c r="B51" s="285" t="str">
        <f>Details!B53</f>
        <v>Youth Fellowship</v>
      </c>
      <c r="C51" s="142">
        <f>Details!K53</f>
        <v>0</v>
      </c>
      <c r="D51" s="358">
        <f>Details!U53</f>
        <v>94000</v>
      </c>
      <c r="E51" s="351">
        <f t="shared" si="0"/>
        <v>1.1325301204819278</v>
      </c>
      <c r="F51" s="46">
        <f>Details!W53</f>
        <v>83000</v>
      </c>
      <c r="G51" s="3">
        <v>36000</v>
      </c>
    </row>
    <row r="52" spans="1:7" ht="18.75">
      <c r="A52" s="155"/>
      <c r="B52" s="285" t="str">
        <f>Details!B54</f>
        <v>Teenagers</v>
      </c>
      <c r="C52" s="142">
        <f>Details!K54</f>
        <v>0</v>
      </c>
      <c r="D52" s="358">
        <f>Details!U54</f>
        <v>34400</v>
      </c>
      <c r="E52" s="351"/>
      <c r="F52" s="46">
        <f>Details!W54</f>
        <v>20000</v>
      </c>
      <c r="G52" s="3"/>
    </row>
    <row r="53" spans="1:7" ht="18.75" hidden="1">
      <c r="A53" s="155"/>
      <c r="B53" s="285"/>
      <c r="C53" s="142"/>
      <c r="D53" s="358"/>
      <c r="E53" s="351"/>
      <c r="F53" s="46">
        <f>Details!W55</f>
        <v>0</v>
      </c>
      <c r="G53" s="3">
        <v>529695.67000000004</v>
      </c>
    </row>
    <row r="54" spans="1:7" ht="18.75">
      <c r="A54" s="155"/>
      <c r="B54" s="285"/>
      <c r="C54" s="142"/>
      <c r="D54" s="358"/>
      <c r="E54" s="351"/>
      <c r="F54" s="46">
        <f>Details!W56</f>
        <v>0</v>
      </c>
      <c r="G54" s="3">
        <v>0</v>
      </c>
    </row>
    <row r="55" spans="1:7" ht="26.25" customHeight="1">
      <c r="A55" s="155"/>
      <c r="B55" s="300" t="str">
        <f>Details!B57</f>
        <v>B. CHURCH STAFF</v>
      </c>
      <c r="C55" s="141">
        <f>Details!K57</f>
        <v>0</v>
      </c>
      <c r="D55" s="361">
        <f>Details!U57</f>
        <v>1295169.53</v>
      </c>
      <c r="E55" s="354">
        <f t="shared" si="0"/>
        <v>0.44663907568641337</v>
      </c>
      <c r="F55" s="46">
        <f>Details!W57</f>
        <v>2899812.4</v>
      </c>
      <c r="G55" s="3">
        <v>8605.67</v>
      </c>
    </row>
    <row r="56" spans="1:7" ht="18.75">
      <c r="A56" s="155"/>
      <c r="B56" s="285" t="str">
        <f>Details!B58</f>
        <v>Church Pastor (salaries and allowances)</v>
      </c>
      <c r="C56" s="142">
        <f>Details!K58</f>
        <v>0</v>
      </c>
      <c r="D56" s="358">
        <f>Details!U58</f>
        <v>674440.77</v>
      </c>
      <c r="E56" s="351">
        <f t="shared" si="0"/>
        <v>0.41245127227746647</v>
      </c>
      <c r="F56" s="46">
        <f>Details!W58</f>
        <v>1635201.09</v>
      </c>
      <c r="G56" s="3">
        <v>0</v>
      </c>
    </row>
    <row r="57" spans="1:7" ht="18.75">
      <c r="A57" s="155"/>
      <c r="B57" s="285" t="str">
        <f>Details!B59</f>
        <v>Other Pastors</v>
      </c>
      <c r="C57" s="142">
        <f>Details!K59</f>
        <v>0</v>
      </c>
      <c r="D57" s="358">
        <f>Details!U59</f>
        <v>418634</v>
      </c>
      <c r="E57" s="351">
        <f t="shared" si="0"/>
        <v>0.52991645569620249</v>
      </c>
      <c r="F57" s="46">
        <f>Details!W59</f>
        <v>790000</v>
      </c>
      <c r="G57" s="3">
        <v>7490</v>
      </c>
    </row>
    <row r="58" spans="1:7" ht="18.75">
      <c r="A58" s="155"/>
      <c r="B58" s="285" t="str">
        <f>Details!B60</f>
        <v>Janitor</v>
      </c>
      <c r="C58" s="142">
        <f>Details!K60</f>
        <v>0</v>
      </c>
      <c r="D58" s="358">
        <f>Details!U60</f>
        <v>202094.76</v>
      </c>
      <c r="E58" s="351">
        <f t="shared" si="0"/>
        <v>0.42581109160672975</v>
      </c>
      <c r="F58" s="46">
        <f>Details!W60</f>
        <v>474611.31</v>
      </c>
      <c r="G58" s="3">
        <v>8300</v>
      </c>
    </row>
    <row r="59" spans="1:7" ht="18.75">
      <c r="A59" s="155"/>
      <c r="B59" s="285" t="str">
        <f>Details!B61</f>
        <v>Appreciation service for Pastor</v>
      </c>
      <c r="C59" s="142">
        <f>Details!K61</f>
        <v>0</v>
      </c>
      <c r="D59" s="358">
        <f>Details!U61</f>
        <v>0</v>
      </c>
      <c r="E59" s="351"/>
      <c r="F59" s="46"/>
      <c r="G59" s="3">
        <v>0</v>
      </c>
    </row>
    <row r="60" spans="1:7" ht="18.75">
      <c r="A60" s="155"/>
      <c r="B60" s="300" t="str">
        <f>Details!B62</f>
        <v>C. OPERATION COSTS</v>
      </c>
      <c r="C60" s="141">
        <f>Details!K62</f>
        <v>0</v>
      </c>
      <c r="D60" s="361">
        <f>Details!U62</f>
        <v>829740.71924999997</v>
      </c>
      <c r="E60" s="354">
        <f t="shared" si="0"/>
        <v>0.77647456414935423</v>
      </c>
      <c r="F60" s="46">
        <f>Details!W62</f>
        <v>1068600</v>
      </c>
      <c r="G60" s="3">
        <v>40950</v>
      </c>
    </row>
    <row r="61" spans="1:7" ht="18.75">
      <c r="A61" s="155"/>
      <c r="B61" s="302" t="str">
        <f>Details!B64</f>
        <v xml:space="preserve">Bank charges: sms, maintenance, VAT etc. </v>
      </c>
      <c r="C61" s="148">
        <f>Details!K64</f>
        <v>0</v>
      </c>
      <c r="D61" s="359">
        <f>Details!U64</f>
        <v>15220.720000000001</v>
      </c>
      <c r="E61" s="353">
        <f t="shared" si="0"/>
        <v>0.69185090909090918</v>
      </c>
      <c r="F61" s="345">
        <f>Details!W64</f>
        <v>22000</v>
      </c>
      <c r="G61" s="3">
        <v>88000</v>
      </c>
    </row>
    <row r="62" spans="1:7" ht="18.75">
      <c r="A62" s="155"/>
      <c r="B62" s="285" t="str">
        <f>Details!B65</f>
        <v>Church Council refreshments</v>
      </c>
      <c r="C62" s="142">
        <f>Details!K65</f>
        <v>0</v>
      </c>
      <c r="D62" s="358">
        <f>Details!U65</f>
        <v>8000</v>
      </c>
      <c r="E62" s="351">
        <f t="shared" si="0"/>
        <v>0.33333333333333331</v>
      </c>
      <c r="F62" s="46">
        <f>Details!W65</f>
        <v>24000</v>
      </c>
      <c r="G62" s="3">
        <v>10500</v>
      </c>
    </row>
    <row r="63" spans="1:7" ht="18.75">
      <c r="A63" s="155"/>
      <c r="B63" s="285" t="str">
        <f>Details!B66</f>
        <v>Church secreteriat</v>
      </c>
      <c r="C63" s="142">
        <f>Details!K66</f>
        <v>0</v>
      </c>
      <c r="D63" s="358">
        <f>Details!U66</f>
        <v>55470</v>
      </c>
      <c r="E63" s="351">
        <f t="shared" si="0"/>
        <v>0.92449999999999999</v>
      </c>
      <c r="F63" s="46">
        <f>Details!W66</f>
        <v>60000</v>
      </c>
      <c r="G63" s="3">
        <v>216000</v>
      </c>
    </row>
    <row r="64" spans="1:7" ht="18.75">
      <c r="A64" s="155"/>
      <c r="B64" s="285" t="str">
        <f>Details!B67</f>
        <v>Convention session</v>
      </c>
      <c r="C64" s="142">
        <f>Details!K67</f>
        <v>0</v>
      </c>
      <c r="D64" s="358">
        <f>Details!U67</f>
        <v>122500</v>
      </c>
      <c r="E64" s="351">
        <f t="shared" si="0"/>
        <v>6.125</v>
      </c>
      <c r="F64" s="46">
        <f>Details!W67</f>
        <v>20000</v>
      </c>
      <c r="G64" s="3">
        <v>5000</v>
      </c>
    </row>
    <row r="65" spans="1:8" ht="18.75">
      <c r="A65" s="155"/>
      <c r="B65" s="285" t="str">
        <f>Details!B68</f>
        <v>Electricity - church auditorium</v>
      </c>
      <c r="C65" s="142">
        <f>Details!K68</f>
        <v>0</v>
      </c>
      <c r="D65" s="358">
        <f>Details!U68</f>
        <v>20000</v>
      </c>
      <c r="E65" s="351">
        <f t="shared" si="0"/>
        <v>0.625</v>
      </c>
      <c r="F65" s="46">
        <f>Details!W68</f>
        <v>32000</v>
      </c>
      <c r="G65" s="3">
        <v>0</v>
      </c>
    </row>
    <row r="66" spans="1:8" ht="18.75">
      <c r="A66" s="155"/>
      <c r="B66" s="285" t="str">
        <f>Details!B69</f>
        <v>Electricity - Pastorium</v>
      </c>
      <c r="C66" s="142">
        <f>Details!K69</f>
        <v>0</v>
      </c>
      <c r="D66" s="358">
        <f>Details!U69</f>
        <v>10000</v>
      </c>
      <c r="E66" s="351">
        <f t="shared" si="0"/>
        <v>0.20833333333333334</v>
      </c>
      <c r="F66" s="46">
        <f>Details!W69</f>
        <v>48000</v>
      </c>
      <c r="G66" s="3">
        <v>63485</v>
      </c>
    </row>
    <row r="67" spans="1:8" ht="37.5">
      <c r="A67" s="155"/>
      <c r="B67" s="302" t="str">
        <f>Details!B70</f>
        <v>Generators - fuel and maintenance church auditorium</v>
      </c>
      <c r="C67" s="148">
        <f>Details!K70</f>
        <v>0</v>
      </c>
      <c r="D67" s="359">
        <f>Details!U70</f>
        <v>136849.99924999999</v>
      </c>
      <c r="E67" s="353">
        <f t="shared" si="0"/>
        <v>0.51479269803888994</v>
      </c>
      <c r="F67" s="345">
        <f>Details!W70</f>
        <v>265835.15999999997</v>
      </c>
      <c r="G67" s="3">
        <v>56365</v>
      </c>
    </row>
    <row r="68" spans="1:8" ht="21" customHeight="1">
      <c r="A68" s="155"/>
      <c r="B68" s="302" t="str">
        <f>Details!B71</f>
        <v>Generators - fuel and maintenance pastorium</v>
      </c>
      <c r="C68" s="148">
        <f>Details!K71</f>
        <v>0</v>
      </c>
      <c r="D68" s="358">
        <f>Details!U71</f>
        <v>99900</v>
      </c>
      <c r="E68" s="351">
        <f t="shared" si="0"/>
        <v>0.90191075074003635</v>
      </c>
      <c r="F68" s="46">
        <f>Details!W71</f>
        <v>110764.84</v>
      </c>
      <c r="G68" s="3">
        <v>10000</v>
      </c>
    </row>
    <row r="69" spans="1:8" ht="16.5" hidden="1" customHeight="1">
      <c r="A69" s="155"/>
      <c r="B69" s="285" t="str">
        <f>Details!B72</f>
        <v>Keep fit instructor</v>
      </c>
      <c r="C69" s="142">
        <f>Details!K72</f>
        <v>0</v>
      </c>
      <c r="D69" s="359">
        <f>Details!U72</f>
        <v>0</v>
      </c>
      <c r="E69" s="353" t="e">
        <f t="shared" si="0"/>
        <v>#DIV/0!</v>
      </c>
      <c r="F69" s="46">
        <f>Details!W72</f>
        <v>0</v>
      </c>
      <c r="G69" s="89">
        <v>15000</v>
      </c>
    </row>
    <row r="70" spans="1:8" ht="18.75">
      <c r="A70" s="155"/>
      <c r="B70" s="285" t="str">
        <f>Details!B73</f>
        <v xml:space="preserve">Ministers' Conference </v>
      </c>
      <c r="C70" s="142">
        <f>Details!K73</f>
        <v>0</v>
      </c>
      <c r="D70" s="358">
        <f>Details!U73</f>
        <v>0</v>
      </c>
      <c r="E70" s="351">
        <f t="shared" ref="E70:E109" si="1">D70/F70</f>
        <v>0</v>
      </c>
      <c r="F70" s="46">
        <f>Details!W73</f>
        <v>6000</v>
      </c>
      <c r="G70" s="3"/>
    </row>
    <row r="71" spans="1:8" ht="38.25" customHeight="1">
      <c r="A71" s="155"/>
      <c r="B71" s="302" t="str">
        <f>Details!B74</f>
        <v>Miscellanous (transport for CAN Minister, honorarium for supervisor)</v>
      </c>
      <c r="C71" s="148">
        <f>Details!K74</f>
        <v>0</v>
      </c>
      <c r="D71" s="359">
        <f>Details!U74</f>
        <v>18000</v>
      </c>
      <c r="E71" s="353">
        <f t="shared" si="1"/>
        <v>0.36</v>
      </c>
      <c r="F71" s="46">
        <f>Details!W74</f>
        <v>50000</v>
      </c>
      <c r="G71" s="3">
        <v>1615186</v>
      </c>
      <c r="H71" s="2">
        <f>D71-G71</f>
        <v>-1597186</v>
      </c>
    </row>
    <row r="72" spans="1:8" ht="18.75">
      <c r="A72" s="155"/>
      <c r="B72" s="285" t="str">
        <f>Details!B75</f>
        <v>Motorcycle</v>
      </c>
      <c r="C72" s="142">
        <f>Details!K75</f>
        <v>0</v>
      </c>
      <c r="D72" s="359">
        <f>Details!U75</f>
        <v>3800</v>
      </c>
      <c r="E72" s="353" t="e">
        <f t="shared" si="1"/>
        <v>#DIV/0!</v>
      </c>
      <c r="F72" s="46">
        <f>Details!W75</f>
        <v>0</v>
      </c>
      <c r="G72" s="3">
        <v>653370</v>
      </c>
    </row>
    <row r="73" spans="1:8" ht="18.75">
      <c r="A73" s="155"/>
      <c r="B73" s="285" t="str">
        <f>Details!B76</f>
        <v>Ogbomoso Conference</v>
      </c>
      <c r="C73" s="142">
        <f>Details!K76</f>
        <v>0</v>
      </c>
      <c r="D73" s="358">
        <f>Details!U76</f>
        <v>0</v>
      </c>
      <c r="E73" s="351">
        <f t="shared" si="1"/>
        <v>0</v>
      </c>
      <c r="F73" s="46">
        <f>Details!W76</f>
        <v>25000</v>
      </c>
      <c r="G73" s="3">
        <v>516</v>
      </c>
    </row>
    <row r="74" spans="1:8" ht="18.75">
      <c r="A74" s="155"/>
      <c r="B74" s="285" t="str">
        <f>Details!B77</f>
        <v xml:space="preserve">Pastorium rent &amp; maintenance </v>
      </c>
      <c r="C74" s="142">
        <f>Details!K77</f>
        <v>0</v>
      </c>
      <c r="D74" s="358">
        <f>Details!U77</f>
        <v>0</v>
      </c>
      <c r="E74" s="351">
        <f t="shared" si="1"/>
        <v>0</v>
      </c>
      <c r="F74" s="46">
        <f>Details!W77</f>
        <v>150000</v>
      </c>
      <c r="G74" s="3">
        <v>214300</v>
      </c>
    </row>
    <row r="75" spans="1:8" ht="19.5" hidden="1" customHeight="1">
      <c r="A75" s="155"/>
      <c r="B75" s="285" t="str">
        <f>Details!B78</f>
        <v>Pastors Wives' retreat</v>
      </c>
      <c r="C75" s="142">
        <f>Details!K78</f>
        <v>0</v>
      </c>
      <c r="D75" s="358">
        <f>Details!U78</f>
        <v>0</v>
      </c>
      <c r="E75" s="351">
        <f t="shared" si="1"/>
        <v>0</v>
      </c>
      <c r="F75" s="46">
        <f>Details!W78</f>
        <v>5000</v>
      </c>
      <c r="G75" s="3">
        <v>45000</v>
      </c>
    </row>
    <row r="76" spans="1:8" ht="35.25" customHeight="1">
      <c r="A76" s="155"/>
      <c r="B76" s="312" t="str">
        <f>Details!B79</f>
        <v>Workers' retreat organized by the church</v>
      </c>
      <c r="C76" s="148">
        <f>Details!K79</f>
        <v>0</v>
      </c>
      <c r="D76" s="358">
        <f>Details!U79</f>
        <v>40000</v>
      </c>
      <c r="E76" s="351"/>
      <c r="F76" s="46">
        <f>Details!W79</f>
        <v>50000</v>
      </c>
      <c r="G76" s="3">
        <v>602000</v>
      </c>
    </row>
    <row r="77" spans="1:8" ht="18.75">
      <c r="A77" s="155"/>
      <c r="B77" s="285"/>
      <c r="C77" s="142"/>
      <c r="D77" s="358"/>
      <c r="E77" s="351"/>
      <c r="F77" s="46"/>
      <c r="G77" s="46">
        <v>100000</v>
      </c>
    </row>
    <row r="78" spans="1:8" ht="18.75">
      <c r="A78" s="155"/>
      <c r="B78" s="300" t="str">
        <f>Details!B81</f>
        <v>D. NEW AUDITORIUM &amp; OTHER PROJECTS</v>
      </c>
      <c r="C78" s="141">
        <f>Details!K81</f>
        <v>213000</v>
      </c>
      <c r="D78" s="361">
        <f>Details!U81</f>
        <v>3855996.88</v>
      </c>
      <c r="E78" s="354">
        <f t="shared" si="1"/>
        <v>0.92870830443159924</v>
      </c>
      <c r="F78" s="46">
        <f>Details!W81</f>
        <v>4152000</v>
      </c>
      <c r="G78" s="3"/>
    </row>
    <row r="79" spans="1:8" ht="18.75">
      <c r="A79" s="155"/>
      <c r="B79" s="285" t="str">
        <f>Details!B82</f>
        <v>Bank charges - Access bank</v>
      </c>
      <c r="C79" s="142">
        <f>Details!K82</f>
        <v>0</v>
      </c>
      <c r="D79" s="358">
        <f>Details!U82</f>
        <v>4666.88</v>
      </c>
      <c r="E79" s="351">
        <f t="shared" si="1"/>
        <v>2.33344</v>
      </c>
      <c r="F79" s="46">
        <f>Details!W82</f>
        <v>2000</v>
      </c>
      <c r="G79" s="3">
        <v>945343.07000000007</v>
      </c>
    </row>
    <row r="80" spans="1:8" ht="18.75">
      <c r="A80" s="155"/>
      <c r="B80" s="285" t="str">
        <f>Details!B83</f>
        <v>Borehole</v>
      </c>
      <c r="C80" s="142">
        <f>Details!K83</f>
        <v>0</v>
      </c>
      <c r="D80" s="362">
        <f>Details!U83</f>
        <v>561230</v>
      </c>
      <c r="E80" s="353">
        <f t="shared" si="1"/>
        <v>0.86343076923076922</v>
      </c>
      <c r="F80" s="46">
        <f>Details!W83</f>
        <v>650000</v>
      </c>
      <c r="G80" s="3">
        <v>652625.66</v>
      </c>
    </row>
    <row r="81" spans="1:8" ht="18.75">
      <c r="A81" s="155"/>
      <c r="B81" s="285" t="str">
        <f>Details!B84</f>
        <v>Development loan refund</v>
      </c>
      <c r="C81" s="142">
        <f>Details!K84</f>
        <v>0</v>
      </c>
      <c r="D81" s="359">
        <f>Details!U84</f>
        <v>0</v>
      </c>
      <c r="E81" s="353" t="e">
        <f t="shared" si="1"/>
        <v>#DIV/0!</v>
      </c>
      <c r="F81" s="46">
        <f>Details!W84</f>
        <v>0</v>
      </c>
      <c r="G81" s="3">
        <v>204890.18</v>
      </c>
    </row>
    <row r="82" spans="1:8" ht="18.75">
      <c r="A82" s="155"/>
      <c r="B82" s="285" t="str">
        <f>Details!B85</f>
        <v>Gift-in-kind towards church auditorium</v>
      </c>
      <c r="C82" s="142">
        <f>Details!K85</f>
        <v>0</v>
      </c>
      <c r="D82" s="359">
        <f>Details!U85</f>
        <v>20800</v>
      </c>
      <c r="E82" s="353" t="e">
        <f t="shared" si="1"/>
        <v>#DIV/0!</v>
      </c>
      <c r="F82" s="46">
        <f>Details!W85</f>
        <v>0</v>
      </c>
      <c r="G82" s="3">
        <v>87827.23</v>
      </c>
    </row>
    <row r="83" spans="1:8" ht="18.75">
      <c r="A83" s="155"/>
      <c r="B83" s="285" t="str">
        <f>Details!B86</f>
        <v>New  auditorium - block work, columns and roof beam</v>
      </c>
      <c r="C83" s="142">
        <f>Details!K86</f>
        <v>213000</v>
      </c>
      <c r="D83" s="358">
        <f>Details!U86</f>
        <v>3269300</v>
      </c>
      <c r="E83" s="351">
        <f t="shared" si="1"/>
        <v>0.9340857142857143</v>
      </c>
      <c r="F83" s="46">
        <f>Details!W86</f>
        <v>3500000</v>
      </c>
      <c r="G83" s="3"/>
    </row>
    <row r="84" spans="1:8" ht="18.75">
      <c r="A84" s="155"/>
      <c r="B84" s="285" t="str">
        <f>Details!B87</f>
        <v>Erection of new sign posts</v>
      </c>
      <c r="C84" s="142">
        <f>Details!K87</f>
        <v>0</v>
      </c>
      <c r="D84" s="361">
        <f>Details!U87</f>
        <v>0</v>
      </c>
      <c r="E84" s="351" t="e">
        <f t="shared" si="1"/>
        <v>#DIV/0!</v>
      </c>
      <c r="F84" s="46">
        <f>Details!W87</f>
        <v>0</v>
      </c>
      <c r="G84" s="3">
        <v>0</v>
      </c>
    </row>
    <row r="85" spans="1:8" ht="18.75">
      <c r="A85" s="155"/>
      <c r="B85" s="285"/>
      <c r="C85" s="142"/>
      <c r="D85" s="358"/>
      <c r="E85" s="351"/>
      <c r="F85" s="46"/>
      <c r="G85" s="3">
        <v>0</v>
      </c>
    </row>
    <row r="86" spans="1:8" ht="18.75">
      <c r="A86" s="155"/>
      <c r="B86" s="300" t="str">
        <f>Details!B89</f>
        <v>E. COOPERATIVE FUNDS</v>
      </c>
      <c r="C86" s="142">
        <f>Details!K89</f>
        <v>0</v>
      </c>
      <c r="D86" s="358">
        <f>Details!U89</f>
        <v>918475.7</v>
      </c>
      <c r="E86" s="351">
        <f t="shared" si="1"/>
        <v>0.37937864518793885</v>
      </c>
      <c r="F86" s="46">
        <f>Details!W89</f>
        <v>2421000</v>
      </c>
      <c r="G86" s="3">
        <v>0</v>
      </c>
    </row>
    <row r="87" spans="1:8" ht="37.5">
      <c r="A87" s="155"/>
      <c r="B87" s="302" t="str">
        <f>Details!B90</f>
        <v>Association contributions - 3% of tithes &amp; SS, thanksgiving and general offerings</v>
      </c>
      <c r="C87" s="148">
        <f>Details!K90</f>
        <v>0</v>
      </c>
      <c r="D87" s="358">
        <f>Details!U90</f>
        <v>91847.51999999999</v>
      </c>
      <c r="E87" s="351">
        <f t="shared" si="1"/>
        <v>0.37937843866171</v>
      </c>
      <c r="F87" s="46">
        <f>Details!W90</f>
        <v>242100</v>
      </c>
      <c r="G87" s="3"/>
    </row>
    <row r="88" spans="1:8" ht="37.5">
      <c r="A88" s="155"/>
      <c r="B88" s="302" t="str">
        <f>Details!B91</f>
        <v>Conference contributions - 7% of tithes &amp;  SS, thanksgiving and general offerings</v>
      </c>
      <c r="C88" s="148">
        <f>Details!K91</f>
        <v>0</v>
      </c>
      <c r="D88" s="359">
        <f>Details!U91</f>
        <v>214310.88</v>
      </c>
      <c r="E88" s="353">
        <f t="shared" si="1"/>
        <v>0.37937843866171006</v>
      </c>
      <c r="F88" s="46">
        <f>Details!W91</f>
        <v>564900</v>
      </c>
      <c r="G88" s="3">
        <v>3904777.1399999997</v>
      </c>
      <c r="H88" s="2">
        <f>D88-G88</f>
        <v>-3690466.26</v>
      </c>
    </row>
    <row r="89" spans="1:8" ht="37.5">
      <c r="A89" s="155"/>
      <c r="B89" s="302" t="str">
        <f>Details!B92</f>
        <v>Convention contributions - 20% of tithes &amp; SS, thanksgiving and general  offerings</v>
      </c>
      <c r="C89" s="148">
        <f>Details!K92</f>
        <v>0</v>
      </c>
      <c r="D89" s="359">
        <f>Details!U92</f>
        <v>612317.30000000005</v>
      </c>
      <c r="E89" s="353">
        <f t="shared" si="1"/>
        <v>0.37937874845105329</v>
      </c>
      <c r="F89" s="46">
        <f>Details!W92</f>
        <v>1614000</v>
      </c>
      <c r="G89" s="3">
        <v>393120.44</v>
      </c>
      <c r="H89" s="2">
        <f>D89-G89</f>
        <v>219196.86000000004</v>
      </c>
    </row>
    <row r="90" spans="1:8" ht="18.75">
      <c r="A90" s="155"/>
      <c r="B90" s="285"/>
      <c r="C90" s="142"/>
      <c r="D90" s="358"/>
      <c r="E90" s="351"/>
      <c r="F90" s="46"/>
      <c r="G90" s="3">
        <v>32130.58</v>
      </c>
    </row>
    <row r="91" spans="1:8" ht="18.75">
      <c r="A91" s="155"/>
      <c r="B91" s="300" t="str">
        <f>Details!B94</f>
        <v>F. DESIGNATED SAVINGS</v>
      </c>
      <c r="C91" s="141">
        <f>Details!K94</f>
        <v>0</v>
      </c>
      <c r="D91" s="508">
        <v>0</v>
      </c>
      <c r="E91" s="351"/>
      <c r="F91" s="46"/>
      <c r="G91" s="3">
        <v>38613.86</v>
      </c>
    </row>
    <row r="92" spans="1:8" ht="18.75">
      <c r="A92" s="155"/>
      <c r="B92" s="285" t="str">
        <f>Details!B95</f>
        <v>Pastorium (rent, development of land etc.)</v>
      </c>
      <c r="C92" s="142">
        <f>Details!K95</f>
        <v>0</v>
      </c>
      <c r="D92" s="509">
        <f>Details!U95</f>
        <v>0</v>
      </c>
      <c r="E92" s="351" t="e">
        <f t="shared" si="1"/>
        <v>#DIV/0!</v>
      </c>
      <c r="F92" s="46"/>
      <c r="G92" s="3">
        <v>322426</v>
      </c>
    </row>
    <row r="93" spans="1:8" ht="18.75">
      <c r="A93" s="155"/>
      <c r="B93" s="285" t="str">
        <f>Details!B96</f>
        <v>New auditorium</v>
      </c>
      <c r="C93" s="142">
        <f>Details!K96</f>
        <v>0</v>
      </c>
      <c r="D93" s="509">
        <v>0</v>
      </c>
      <c r="E93" s="351"/>
      <c r="F93" s="46"/>
      <c r="G93" s="3">
        <v>-50</v>
      </c>
    </row>
    <row r="94" spans="1:8" ht="21.75" customHeight="1">
      <c r="A94" s="155"/>
      <c r="B94" s="285"/>
      <c r="C94" s="142"/>
      <c r="D94" s="363"/>
      <c r="E94" s="351"/>
      <c r="F94" s="46"/>
      <c r="G94" s="3"/>
    </row>
    <row r="95" spans="1:8" ht="18.75">
      <c r="A95" s="155"/>
      <c r="B95" s="300" t="str">
        <f>Details!B98</f>
        <v>Total Expenditure</v>
      </c>
      <c r="C95" s="141">
        <f>Details!K98</f>
        <v>213000</v>
      </c>
      <c r="D95" s="360">
        <f>Details!U98</f>
        <v>7915532.8292500004</v>
      </c>
      <c r="E95" s="352">
        <f t="shared" si="1"/>
        <v>0.56402492769993562</v>
      </c>
      <c r="F95" s="46">
        <f>Details!W98</f>
        <v>14034012.4</v>
      </c>
      <c r="G95" s="3">
        <v>4447897.58</v>
      </c>
      <c r="H95" s="2">
        <f>D95-G95</f>
        <v>3467635.2492500003</v>
      </c>
    </row>
    <row r="96" spans="1:8" ht="37.5">
      <c r="A96" s="155"/>
      <c r="B96" s="296" t="str">
        <f>Details!B99</f>
        <v>Balances in the church's accounts plus imprest account</v>
      </c>
      <c r="C96" s="149">
        <f>Details!K99</f>
        <v>0</v>
      </c>
      <c r="D96" s="507">
        <f>SUM(D97:D104)</f>
        <v>0</v>
      </c>
      <c r="E96" s="351"/>
      <c r="F96" s="46">
        <f>Details!W99</f>
        <v>0</v>
      </c>
      <c r="G96" s="3">
        <v>653586</v>
      </c>
    </row>
    <row r="97" spans="1:8" ht="18.75">
      <c r="A97" s="155"/>
      <c r="B97" s="285" t="str">
        <f>Details!B100</f>
        <v>First Bank of Nigeria</v>
      </c>
      <c r="C97" s="142">
        <f>Details!K100</f>
        <v>0</v>
      </c>
      <c r="D97" s="506">
        <f>Details!K100</f>
        <v>0</v>
      </c>
      <c r="E97" s="353"/>
      <c r="F97" s="46">
        <f>Details!W100</f>
        <v>0</v>
      </c>
      <c r="G97" s="3">
        <v>3401191.14</v>
      </c>
      <c r="H97" s="2">
        <f>D97-G97</f>
        <v>-3401191.14</v>
      </c>
    </row>
    <row r="98" spans="1:8" ht="21" customHeight="1">
      <c r="A98" s="155"/>
      <c r="B98" s="285" t="str">
        <f>Details!B101</f>
        <v>Add Cash/Cheque in-transit - FBN</v>
      </c>
      <c r="C98" s="142">
        <f>Details!K101</f>
        <v>0</v>
      </c>
      <c r="D98" s="506">
        <f>Details!K101</f>
        <v>0</v>
      </c>
      <c r="E98" s="352"/>
      <c r="F98" s="46">
        <f>Details!W101</f>
        <v>0</v>
      </c>
      <c r="G98" s="3">
        <v>4054777.1400000006</v>
      </c>
      <c r="H98" s="2">
        <f>D98-G98</f>
        <v>-4054777.1400000006</v>
      </c>
    </row>
    <row r="99" spans="1:8" ht="18.75">
      <c r="A99" s="155"/>
      <c r="B99" s="285" t="str">
        <f>Details!B102</f>
        <v>Less Unpresented cheques - FBN</v>
      </c>
      <c r="C99" s="142">
        <f>Details!K102</f>
        <v>0</v>
      </c>
      <c r="D99" s="506">
        <f>Details!K102</f>
        <v>0</v>
      </c>
      <c r="E99" s="355"/>
      <c r="F99" s="46">
        <f>Details!W102</f>
        <v>0</v>
      </c>
      <c r="G99" s="3">
        <v>0</v>
      </c>
    </row>
    <row r="100" spans="1:8" ht="25.5" customHeight="1" thickBot="1">
      <c r="A100" s="364"/>
      <c r="B100" s="285" t="str">
        <f>Details!B103</f>
        <v>Randalpha MFB</v>
      </c>
      <c r="C100" s="142">
        <f>Details!K103</f>
        <v>0</v>
      </c>
      <c r="D100" s="506">
        <f>Details!K103</f>
        <v>0</v>
      </c>
      <c r="E100" s="343"/>
      <c r="F100" s="46">
        <f>Details!W103</f>
        <v>0</v>
      </c>
      <c r="G100" s="136"/>
      <c r="H100" s="137"/>
    </row>
    <row r="101" spans="1:8" ht="21" customHeight="1" thickTop="1">
      <c r="A101" s="19"/>
      <c r="B101" s="285" t="str">
        <f>Details!B104</f>
        <v>Access Bank</v>
      </c>
      <c r="C101" s="142">
        <f>Details!K104</f>
        <v>0</v>
      </c>
      <c r="D101" s="506">
        <f>Details!K104</f>
        <v>0</v>
      </c>
      <c r="E101" s="374"/>
      <c r="F101" s="46">
        <f>Details!W104</f>
        <v>0</v>
      </c>
    </row>
    <row r="102" spans="1:8" ht="18.75">
      <c r="A102" s="19"/>
      <c r="B102" s="285" t="str">
        <f>Details!B105</f>
        <v>Add Cash/Cheque in-transit - Access Bank</v>
      </c>
      <c r="C102" s="142">
        <f>Details!K105</f>
        <v>0</v>
      </c>
      <c r="D102" s="506">
        <f>Details!K105</f>
        <v>0</v>
      </c>
      <c r="E102" s="375"/>
      <c r="F102" s="46">
        <f>Details!W105</f>
        <v>0</v>
      </c>
    </row>
    <row r="103" spans="1:8" ht="18.75">
      <c r="A103" s="19"/>
      <c r="B103" s="285" t="str">
        <f>Details!B106</f>
        <v>Less Uncleared cheque - Access Bank</v>
      </c>
      <c r="C103" s="142">
        <f>Details!K106</f>
        <v>0</v>
      </c>
      <c r="D103" s="506">
        <f>Details!K106</f>
        <v>0</v>
      </c>
      <c r="E103" s="375"/>
      <c r="F103" s="46">
        <f>Details!W106</f>
        <v>0</v>
      </c>
    </row>
    <row r="104" spans="1:8" ht="18.75">
      <c r="A104" s="19"/>
      <c r="B104" s="285" t="str">
        <f>Details!B107</f>
        <v>Imprest account (cash on hand)</v>
      </c>
      <c r="C104" s="142">
        <f>Details!K107</f>
        <v>0</v>
      </c>
      <c r="D104" s="506">
        <f>Details!K107</f>
        <v>0</v>
      </c>
      <c r="E104" s="375"/>
      <c r="F104" s="46">
        <f>Details!W107</f>
        <v>0</v>
      </c>
    </row>
    <row r="105" spans="1:8" ht="18.75">
      <c r="A105" s="19"/>
      <c r="B105" s="300" t="str">
        <f>Details!B108</f>
        <v>CONSOLIDATED INCOME &amp; EXPENDITURE REPORT</v>
      </c>
      <c r="C105" s="142"/>
      <c r="D105" s="368"/>
      <c r="E105" s="375"/>
      <c r="F105" s="46">
        <f>Details!W108</f>
        <v>0</v>
      </c>
    </row>
    <row r="106" spans="1:8" ht="37.5">
      <c r="A106" s="19"/>
      <c r="B106" s="296" t="str">
        <f>Details!B109</f>
        <v>Income from all sources, including B/F from 2020</v>
      </c>
      <c r="C106" s="149">
        <f>Details!K109</f>
        <v>457630.32</v>
      </c>
      <c r="D106" s="371">
        <f>Details!U109</f>
        <v>8160163.1500000004</v>
      </c>
      <c r="E106" s="376">
        <f t="shared" si="1"/>
        <v>0.65330572552695731</v>
      </c>
      <c r="F106" s="46">
        <f>Details!W109</f>
        <v>12490573.450000001</v>
      </c>
    </row>
    <row r="107" spans="1:8" ht="18.75">
      <c r="A107" s="19"/>
      <c r="B107" s="285" t="str">
        <f>Details!B110</f>
        <v>Total expenditure on new auditorium</v>
      </c>
      <c r="C107" s="142">
        <f>Details!K110</f>
        <v>213000</v>
      </c>
      <c r="D107" s="368">
        <f>Details!U110</f>
        <v>3294766.88</v>
      </c>
      <c r="E107" s="375">
        <f t="shared" si="1"/>
        <v>0.94082435179897195</v>
      </c>
      <c r="F107" s="46">
        <f>Details!W110</f>
        <v>3502000</v>
      </c>
    </row>
    <row r="108" spans="1:8" ht="37.5">
      <c r="A108" s="19"/>
      <c r="B108" s="302" t="str">
        <f>Details!B111</f>
        <v>General expenditure including amount transferred to building fund</v>
      </c>
      <c r="C108" s="148">
        <f>Details!K111</f>
        <v>0</v>
      </c>
      <c r="D108" s="368">
        <f>Details!U111</f>
        <v>5320765.9492499996</v>
      </c>
      <c r="E108" s="375">
        <f t="shared" si="1"/>
        <v>0.37913362177519522</v>
      </c>
      <c r="F108" s="46">
        <f>Details!W111</f>
        <v>14034012.4</v>
      </c>
    </row>
    <row r="109" spans="1:8" s="61" customFormat="1" ht="38.25" thickBot="1">
      <c r="A109" s="504"/>
      <c r="B109" s="505" t="str">
        <f>Details!B112</f>
        <v>Total expenditure: new auditorium &amp; general</v>
      </c>
      <c r="C109" s="366">
        <f>Details!K112</f>
        <v>213000</v>
      </c>
      <c r="D109" s="381">
        <f>Details!U112</f>
        <v>7915532.8292500004</v>
      </c>
      <c r="E109" s="382">
        <f t="shared" si="1"/>
        <v>0.56402492769993562</v>
      </c>
      <c r="F109" s="345">
        <f>Details!W112</f>
        <v>14034012.4</v>
      </c>
    </row>
    <row r="110" spans="1:8" ht="16.5" thickTop="1">
      <c r="C110" s="356">
        <f>Details!K113</f>
        <v>244630.32</v>
      </c>
      <c r="D110" s="369">
        <f>Details!U113</f>
        <v>244630.32074999996</v>
      </c>
    </row>
  </sheetData>
  <mergeCells count="3">
    <mergeCell ref="A1:E1"/>
    <mergeCell ref="A2:E2"/>
    <mergeCell ref="A3:E3"/>
  </mergeCells>
  <pageMargins left="0.7" right="0.7" top="0.75" bottom="0.75" header="0.3" footer="0.3"/>
  <pageSetup paperSize="9" scale="65" fitToHeight="2" orientation="portrait" horizontalDpi="300" verticalDpi="300" r:id="rId1"/>
  <headerFooter>
    <oddFooter>&amp;CTreasurer's Report - July 2019&amp;R&amp;P</oddFooter>
  </headerFooter>
  <rowBreaks count="1" manualBreakCount="1">
    <brk id="59" max="3" man="1"/>
  </rowBreaks>
</worksheet>
</file>

<file path=xl/worksheets/sheet14.xml><?xml version="1.0" encoding="utf-8"?>
<worksheet xmlns="http://schemas.openxmlformats.org/spreadsheetml/2006/main" xmlns:r="http://schemas.openxmlformats.org/officeDocument/2006/relationships">
  <dimension ref="A1:H111"/>
  <sheetViews>
    <sheetView view="pageBreakPreview" zoomScale="70" zoomScaleSheetLayoutView="70" workbookViewId="0">
      <selection activeCell="E20" sqref="E20"/>
    </sheetView>
  </sheetViews>
  <sheetFormatPr defaultRowHeight="15.75"/>
  <cols>
    <col min="1" max="1" width="8.28515625" customWidth="1"/>
    <col min="2" max="2" width="44.7109375" customWidth="1"/>
    <col min="3" max="3" width="21.140625" style="367" customWidth="1"/>
    <col min="4" max="4" width="19.42578125" customWidth="1"/>
    <col min="5" max="5" width="18.85546875" style="44" customWidth="1"/>
    <col min="6" max="6" width="24" customWidth="1"/>
    <col min="7" max="7" width="22.140625" customWidth="1"/>
    <col min="8" max="8" width="34" customWidth="1"/>
  </cols>
  <sheetData>
    <row r="1" spans="1:8" ht="18" thickTop="1">
      <c r="A1" s="735" t="s">
        <v>30</v>
      </c>
      <c r="B1" s="736"/>
      <c r="C1" s="736"/>
      <c r="D1" s="737"/>
      <c r="E1" s="460"/>
    </row>
    <row r="2" spans="1:8" ht="17.25">
      <c r="A2" s="738" t="s">
        <v>163</v>
      </c>
      <c r="B2" s="739"/>
      <c r="C2" s="739"/>
      <c r="D2" s="740"/>
      <c r="E2" s="461"/>
    </row>
    <row r="3" spans="1:8" ht="17.25">
      <c r="A3" s="738" t="s">
        <v>172</v>
      </c>
      <c r="B3" s="739"/>
      <c r="C3" s="739"/>
      <c r="D3" s="740"/>
      <c r="E3" s="461"/>
    </row>
    <row r="4" spans="1:8" ht="16.5" thickBot="1">
      <c r="A4" s="92"/>
      <c r="B4" s="512"/>
      <c r="C4" s="513"/>
      <c r="D4" s="514"/>
      <c r="E4" s="45"/>
    </row>
    <row r="5" spans="1:8" ht="40.5" customHeight="1" thickTop="1">
      <c r="A5" s="151" t="s">
        <v>43</v>
      </c>
      <c r="B5" s="150" t="s">
        <v>40</v>
      </c>
      <c r="C5" s="150" t="s">
        <v>111</v>
      </c>
      <c r="D5" s="357" t="s">
        <v>41</v>
      </c>
      <c r="E5" s="350" t="s">
        <v>68</v>
      </c>
      <c r="F5" s="38" t="s">
        <v>69</v>
      </c>
    </row>
    <row r="6" spans="1:8" ht="18.75">
      <c r="A6" s="155">
        <v>1</v>
      </c>
      <c r="B6" s="285" t="str">
        <f>Details!B6</f>
        <v>Bank interest</v>
      </c>
      <c r="C6" s="142">
        <f>Details!L6</f>
        <v>0</v>
      </c>
      <c r="D6" s="358">
        <f>Details!U6</f>
        <v>528.69999999999993</v>
      </c>
      <c r="E6" s="351">
        <f t="shared" ref="E6:E69" si="0">D6/F6</f>
        <v>0.88116666666666654</v>
      </c>
      <c r="F6" s="46">
        <f>Details!W6</f>
        <v>600</v>
      </c>
      <c r="G6" s="11"/>
      <c r="H6" s="2">
        <f>D6-G6</f>
        <v>528.69999999999993</v>
      </c>
    </row>
    <row r="7" spans="1:8" ht="18.75">
      <c r="A7" s="155">
        <v>2</v>
      </c>
      <c r="B7" s="285" t="str">
        <f>Details!B7</f>
        <v>Benevolence</v>
      </c>
      <c r="C7" s="142">
        <f>Details!L7</f>
        <v>0</v>
      </c>
      <c r="D7" s="358">
        <f>Details!U7</f>
        <v>121770</v>
      </c>
      <c r="E7" s="351">
        <f t="shared" si="0"/>
        <v>0.81179999999999997</v>
      </c>
      <c r="F7" s="46">
        <f>Details!W7</f>
        <v>150000</v>
      </c>
      <c r="G7" s="11"/>
    </row>
    <row r="8" spans="1:8" ht="18.75">
      <c r="A8" s="155">
        <v>3</v>
      </c>
      <c r="B8" s="285" t="str">
        <f>Details!B8</f>
        <v>Building (cash and kind)</v>
      </c>
      <c r="C8" s="142">
        <f>Details!L8</f>
        <v>0</v>
      </c>
      <c r="D8" s="358">
        <f>Details!U8</f>
        <v>943800</v>
      </c>
      <c r="E8" s="351">
        <f t="shared" si="0"/>
        <v>0.47189999999999999</v>
      </c>
      <c r="F8" s="46">
        <f>Details!W8</f>
        <v>2000000</v>
      </c>
      <c r="G8" s="11"/>
    </row>
    <row r="9" spans="1:8" ht="18.75">
      <c r="A9" s="155">
        <v>4</v>
      </c>
      <c r="B9" s="285" t="str">
        <f>Details!B9</f>
        <v>Designated offering towards borehole</v>
      </c>
      <c r="C9" s="142">
        <f>Details!L9</f>
        <v>0</v>
      </c>
      <c r="D9" s="358">
        <f>Details!U9</f>
        <v>418000</v>
      </c>
      <c r="E9" s="351"/>
      <c r="F9" s="46">
        <f>Details!W9</f>
        <v>100000</v>
      </c>
      <c r="G9" s="11"/>
    </row>
    <row r="10" spans="1:8" ht="37.5">
      <c r="A10" s="156">
        <v>4</v>
      </c>
      <c r="B10" s="302" t="str">
        <f>Details!B10</f>
        <v>Designated offering towards Praise Festival</v>
      </c>
      <c r="C10" s="142">
        <f>Details!L10</f>
        <v>0</v>
      </c>
      <c r="D10" s="358">
        <f>Details!U10</f>
        <v>0</v>
      </c>
      <c r="E10" s="351"/>
      <c r="F10" s="46">
        <f>Details!W10</f>
        <v>0</v>
      </c>
      <c r="G10" s="11"/>
    </row>
    <row r="11" spans="1:8" ht="18.75">
      <c r="A11" s="155">
        <v>5</v>
      </c>
      <c r="B11" s="285" t="str">
        <f>Details!B11</f>
        <v>Foreign Mission offering</v>
      </c>
      <c r="C11" s="142">
        <f>Details!L11</f>
        <v>0</v>
      </c>
      <c r="D11" s="358">
        <f>Details!U11</f>
        <v>0</v>
      </c>
      <c r="E11" s="351"/>
      <c r="F11" s="46">
        <f>Details!W11</f>
        <v>0</v>
      </c>
      <c r="G11" s="11"/>
    </row>
    <row r="12" spans="1:8" ht="17.25" customHeight="1">
      <c r="A12" s="156">
        <v>6</v>
      </c>
      <c r="B12" s="285" t="str">
        <f>Details!B12</f>
        <v>Home Mission offering</v>
      </c>
      <c r="C12" s="142">
        <f>Details!L12</f>
        <v>0</v>
      </c>
      <c r="D12" s="358">
        <f>Details!U12</f>
        <v>100000</v>
      </c>
      <c r="E12" s="351"/>
      <c r="F12" s="46">
        <f>Details!W12</f>
        <v>300000</v>
      </c>
      <c r="G12" s="11"/>
    </row>
    <row r="13" spans="1:8" ht="18.75">
      <c r="A13" s="155">
        <v>8</v>
      </c>
      <c r="B13" s="285" t="str">
        <f>Details!B14</f>
        <v>Designated - Teenagers' Church</v>
      </c>
      <c r="C13" s="142">
        <f>Details!L14</f>
        <v>0</v>
      </c>
      <c r="D13" s="358">
        <f>Details!U14</f>
        <v>0</v>
      </c>
      <c r="E13" s="351"/>
      <c r="F13" s="46">
        <f>Details!W14</f>
        <v>50000</v>
      </c>
      <c r="G13" s="11"/>
    </row>
    <row r="14" spans="1:8" ht="18.75">
      <c r="A14" s="155">
        <v>7</v>
      </c>
      <c r="B14" s="285" t="str">
        <f>Details!B15</f>
        <v>Offering</v>
      </c>
      <c r="C14" s="142">
        <f>Details!L15</f>
        <v>0</v>
      </c>
      <c r="D14" s="358">
        <f>Details!U15</f>
        <v>598815</v>
      </c>
      <c r="E14" s="351">
        <f t="shared" si="0"/>
        <v>0.59881499999999999</v>
      </c>
      <c r="F14" s="46">
        <f>Details!W15</f>
        <v>1000000</v>
      </c>
      <c r="G14" s="11"/>
    </row>
    <row r="15" spans="1:8" ht="18.75">
      <c r="A15" s="155">
        <v>8</v>
      </c>
      <c r="B15" s="285" t="str">
        <f>Details!B16</f>
        <v xml:space="preserve">Sunday School </v>
      </c>
      <c r="C15" s="142">
        <f>Details!L16</f>
        <v>0</v>
      </c>
      <c r="D15" s="358">
        <f>Details!U16</f>
        <v>125430</v>
      </c>
      <c r="E15" s="351">
        <f t="shared" si="0"/>
        <v>0.73782352941176466</v>
      </c>
      <c r="F15" s="46">
        <f>Details!W16</f>
        <v>170000</v>
      </c>
      <c r="G15" s="11"/>
    </row>
    <row r="16" spans="1:8" ht="18.75">
      <c r="A16" s="155">
        <v>9</v>
      </c>
      <c r="B16" s="285" t="str">
        <f>Details!B17</f>
        <v>Thanksgiving</v>
      </c>
      <c r="C16" s="142">
        <f>Details!L17</f>
        <v>0</v>
      </c>
      <c r="D16" s="358">
        <f>Details!U17</f>
        <v>423875</v>
      </c>
      <c r="E16" s="351">
        <f t="shared" si="0"/>
        <v>1.0596874999999999</v>
      </c>
      <c r="F16" s="46">
        <f>Details!W17</f>
        <v>400000</v>
      </c>
      <c r="G16" s="11"/>
    </row>
    <row r="17" spans="1:7" ht="18.75">
      <c r="A17" s="155">
        <v>10</v>
      </c>
      <c r="B17" s="285" t="str">
        <f>Details!B18</f>
        <v>Tithes</v>
      </c>
      <c r="C17" s="142">
        <f>Details!L18</f>
        <v>0</v>
      </c>
      <c r="D17" s="359">
        <f>Details!U18</f>
        <v>3607971</v>
      </c>
      <c r="E17" s="351">
        <f t="shared" si="0"/>
        <v>0.55507246153846157</v>
      </c>
      <c r="F17" s="46">
        <f>Details!W18</f>
        <v>6500000</v>
      </c>
      <c r="G17" s="11"/>
    </row>
    <row r="18" spans="1:7" s="9" customFormat="1" ht="18.75">
      <c r="A18" s="155"/>
      <c r="B18" s="372" t="str">
        <f>Details!B19</f>
        <v>Total income this reporting period</v>
      </c>
      <c r="C18" s="141">
        <f>Details!L19</f>
        <v>0</v>
      </c>
      <c r="D18" s="360">
        <f>Details!U19</f>
        <v>6340189.7000000002</v>
      </c>
      <c r="E18" s="352">
        <f t="shared" si="0"/>
        <v>0.59417368282945671</v>
      </c>
      <c r="F18" s="46">
        <f>Details!W19</f>
        <v>10670600</v>
      </c>
      <c r="G18" s="159"/>
    </row>
    <row r="19" spans="1:7" ht="37.5">
      <c r="A19" s="155"/>
      <c r="B19" s="326" t="str">
        <f>Details!B20</f>
        <v>B/F from previous month/quarter: First Bank of Nigeria</v>
      </c>
      <c r="C19" s="148">
        <f>Details!L20</f>
        <v>0</v>
      </c>
      <c r="D19" s="359">
        <f>Details!U20</f>
        <v>286762.07</v>
      </c>
      <c r="E19" s="353"/>
      <c r="F19" s="46">
        <f>Details!W20</f>
        <v>286762.07</v>
      </c>
      <c r="G19" s="11"/>
    </row>
    <row r="20" spans="1:7" ht="18.75">
      <c r="A20" s="155"/>
      <c r="B20" s="326" t="str">
        <f>Details!B21</f>
        <v xml:space="preserve">                               Randalapha MFB</v>
      </c>
      <c r="C20" s="142">
        <f>Details!L21</f>
        <v>0</v>
      </c>
      <c r="D20" s="358">
        <f>Details!U21</f>
        <v>16787.310000000001</v>
      </c>
      <c r="E20" s="351"/>
      <c r="F20" s="46">
        <f>Details!W21</f>
        <v>16787.310000000001</v>
      </c>
      <c r="G20" s="11"/>
    </row>
    <row r="21" spans="1:7" ht="37.5">
      <c r="A21" s="155"/>
      <c r="B21" s="326" t="str">
        <f>Details!B22</f>
        <v xml:space="preserve">                               Access Bank (Building fund)</v>
      </c>
      <c r="C21" s="142">
        <f>Details!L22</f>
        <v>0</v>
      </c>
      <c r="D21" s="359">
        <f>Details!U22</f>
        <v>1513424.07</v>
      </c>
      <c r="E21" s="351"/>
      <c r="F21" s="46">
        <f>Details!W22</f>
        <v>1513424.07</v>
      </c>
      <c r="G21" s="11"/>
    </row>
    <row r="22" spans="1:7" ht="18.75" customHeight="1">
      <c r="A22" s="155"/>
      <c r="B22" s="326" t="str">
        <f>Details!B23</f>
        <v xml:space="preserve">                               Imprest Account (Cash on hand)</v>
      </c>
      <c r="C22" s="148">
        <f>Details!L23</f>
        <v>0</v>
      </c>
      <c r="D22" s="359">
        <f>Details!U23</f>
        <v>3000</v>
      </c>
      <c r="E22" s="351"/>
      <c r="F22" s="46">
        <f>Details!W23</f>
        <v>3000</v>
      </c>
      <c r="G22" s="11"/>
    </row>
    <row r="23" spans="1:7" ht="37.5">
      <c r="A23" s="155"/>
      <c r="B23" s="312" t="str">
        <f>Details!B24</f>
        <v>Total B/F from 2020 or last month or quarter</v>
      </c>
      <c r="C23" s="148">
        <f>Details!L24</f>
        <v>0</v>
      </c>
      <c r="D23" s="359">
        <f>Details!U24</f>
        <v>1819973.4500000002</v>
      </c>
      <c r="E23" s="354"/>
      <c r="F23" s="46">
        <f>Details!W24</f>
        <v>1819973.4500000002</v>
      </c>
      <c r="G23" s="11"/>
    </row>
    <row r="24" spans="1:7" ht="18.75">
      <c r="A24" s="155"/>
      <c r="B24" s="300" t="str">
        <f>Details!B25</f>
        <v>Total Income/Available cash</v>
      </c>
      <c r="C24" s="141">
        <f>Details!L25</f>
        <v>0</v>
      </c>
      <c r="D24" s="360">
        <f>Details!U25</f>
        <v>8160163.1500000004</v>
      </c>
      <c r="E24" s="352">
        <f t="shared" si="0"/>
        <v>0.65330572552695731</v>
      </c>
      <c r="F24" s="46">
        <f>Details!W25</f>
        <v>12490573.450000001</v>
      </c>
      <c r="G24" s="11"/>
    </row>
    <row r="25" spans="1:7" ht="18.75">
      <c r="A25" s="155"/>
      <c r="B25" s="300" t="str">
        <f>Details!B26</f>
        <v>EXPENDITURE</v>
      </c>
      <c r="C25" s="141"/>
      <c r="D25" s="358"/>
      <c r="E25" s="351"/>
      <c r="F25" s="46">
        <f>Details!W26</f>
        <v>0</v>
      </c>
      <c r="G25" s="11"/>
    </row>
    <row r="26" spans="1:7" ht="18.75">
      <c r="A26" s="155"/>
      <c r="B26" s="300" t="str">
        <f>Details!B27</f>
        <v>A. CHURCH MINISTRIES</v>
      </c>
      <c r="C26" s="141">
        <f>Details!L27</f>
        <v>0</v>
      </c>
      <c r="D26" s="361">
        <f>Details!U27</f>
        <v>1016150</v>
      </c>
      <c r="E26" s="354">
        <f t="shared" si="0"/>
        <v>0.33730000663878379</v>
      </c>
      <c r="F26" s="46">
        <f>Details!W27</f>
        <v>3012600</v>
      </c>
      <c r="G26" s="11"/>
    </row>
    <row r="27" spans="1:7" ht="18.75">
      <c r="A27" s="155"/>
      <c r="B27" s="285" t="str">
        <f>Details!B28</f>
        <v>Benevolence</v>
      </c>
      <c r="C27" s="142">
        <f>Details!L28</f>
        <v>0</v>
      </c>
      <c r="D27" s="358">
        <f>Details!U28</f>
        <v>193940</v>
      </c>
      <c r="E27" s="351">
        <f t="shared" si="0"/>
        <v>0.543249299719888</v>
      </c>
      <c r="F27" s="46">
        <f>Details!W28</f>
        <v>357000</v>
      </c>
      <c r="G27" s="11"/>
    </row>
    <row r="28" spans="1:7" ht="18.75">
      <c r="A28" s="155"/>
      <c r="B28" s="285" t="str">
        <f>Details!B29</f>
        <v>Childrens' Department</v>
      </c>
      <c r="C28" s="142">
        <f>Details!L29</f>
        <v>0</v>
      </c>
      <c r="D28" s="358">
        <f>Details!U29</f>
        <v>98380</v>
      </c>
      <c r="E28" s="351">
        <f t="shared" si="0"/>
        <v>0.37265151515151518</v>
      </c>
      <c r="F28" s="46">
        <f>Details!W29</f>
        <v>264000</v>
      </c>
      <c r="G28" s="11"/>
    </row>
    <row r="29" spans="1:7" ht="18.75">
      <c r="A29" s="155"/>
      <c r="B29" s="285" t="str">
        <f>Details!B30</f>
        <v>Church decorations</v>
      </c>
      <c r="C29" s="142">
        <f>Details!L30</f>
        <v>0</v>
      </c>
      <c r="D29" s="358">
        <f>Details!U30</f>
        <v>0</v>
      </c>
      <c r="E29" s="351">
        <f t="shared" si="0"/>
        <v>0</v>
      </c>
      <c r="F29" s="46">
        <f>Details!W30</f>
        <v>25000</v>
      </c>
      <c r="G29" s="11"/>
    </row>
    <row r="30" spans="1:7" ht="18.75">
      <c r="A30" s="155"/>
      <c r="B30" s="285" t="str">
        <f>Details!B31</f>
        <v>Church Maintenance</v>
      </c>
      <c r="C30" s="142">
        <f>Details!L31</f>
        <v>0</v>
      </c>
      <c r="D30" s="358">
        <f>Details!U31</f>
        <v>0</v>
      </c>
      <c r="E30" s="351">
        <f t="shared" si="0"/>
        <v>0</v>
      </c>
      <c r="F30" s="46">
        <f>Details!W31</f>
        <v>20000</v>
      </c>
      <c r="G30" s="11"/>
    </row>
    <row r="31" spans="1:7" ht="18.75">
      <c r="A31" s="155"/>
      <c r="B31" s="285" t="str">
        <f>Details!B33</f>
        <v>Discipleship Department</v>
      </c>
      <c r="C31" s="142">
        <f>Details!L33</f>
        <v>0</v>
      </c>
      <c r="D31" s="358">
        <f>Details!U33</f>
        <v>0</v>
      </c>
      <c r="E31" s="351">
        <f t="shared" si="0"/>
        <v>0</v>
      </c>
      <c r="F31" s="46">
        <f>Details!W33</f>
        <v>15000</v>
      </c>
      <c r="G31" s="11"/>
    </row>
    <row r="32" spans="1:7" ht="18.75">
      <c r="A32" s="155"/>
      <c r="B32" s="285" t="str">
        <f>Details!B34</f>
        <v>Drama Committee</v>
      </c>
      <c r="C32" s="142">
        <f>Details!L34</f>
        <v>0</v>
      </c>
      <c r="D32" s="358">
        <f>Details!U34</f>
        <v>10000</v>
      </c>
      <c r="E32" s="351">
        <f t="shared" si="0"/>
        <v>0.2857142857142857</v>
      </c>
      <c r="F32" s="46">
        <f>Details!W34</f>
        <v>35000</v>
      </c>
      <c r="G32" s="11"/>
    </row>
    <row r="33" spans="1:7" ht="37.5">
      <c r="A33" s="155"/>
      <c r="B33" s="302" t="str">
        <f>Details!B35</f>
        <v>End of year outreach - Heaven's Link Praise Festival</v>
      </c>
      <c r="C33" s="142">
        <f>Details!L35</f>
        <v>0</v>
      </c>
      <c r="D33" s="362">
        <f>Details!U35</f>
        <v>0</v>
      </c>
      <c r="E33" s="353">
        <f t="shared" si="0"/>
        <v>0</v>
      </c>
      <c r="F33" s="344">
        <f>Details!W35</f>
        <v>130000</v>
      </c>
      <c r="G33" s="11"/>
    </row>
    <row r="34" spans="1:7" ht="18.75">
      <c r="A34" s="155"/>
      <c r="B34" s="285" t="str">
        <f>Details!B36</f>
        <v>Evangelism Committee</v>
      </c>
      <c r="C34" s="142">
        <f>Details!L36</f>
        <v>0</v>
      </c>
      <c r="D34" s="358">
        <f>Details!U36</f>
        <v>256400</v>
      </c>
      <c r="E34" s="351">
        <f t="shared" si="0"/>
        <v>0.51280000000000003</v>
      </c>
      <c r="F34" s="46">
        <f>Details!W36</f>
        <v>500000</v>
      </c>
      <c r="G34" s="11"/>
    </row>
    <row r="35" spans="1:7" ht="18.75">
      <c r="A35" s="155"/>
      <c r="B35" s="285" t="str">
        <f>Details!B37</f>
        <v>Exemplary Youth Award</v>
      </c>
      <c r="C35" s="142">
        <f>Details!L37</f>
        <v>0</v>
      </c>
      <c r="D35" s="358">
        <f>Details!U37</f>
        <v>0</v>
      </c>
      <c r="E35" s="351">
        <f t="shared" si="0"/>
        <v>0</v>
      </c>
      <c r="F35" s="46">
        <f>Details!W37</f>
        <v>75000</v>
      </c>
      <c r="G35" s="11"/>
    </row>
    <row r="36" spans="1:7" ht="18.75">
      <c r="A36" s="155"/>
      <c r="B36" s="285" t="str">
        <f>Details!B38</f>
        <v>External Affairs</v>
      </c>
      <c r="C36" s="142">
        <f>Details!L38</f>
        <v>0</v>
      </c>
      <c r="D36" s="358">
        <f>Details!U38</f>
        <v>36940</v>
      </c>
      <c r="E36" s="351">
        <f t="shared" si="0"/>
        <v>0.97210526315789469</v>
      </c>
      <c r="F36" s="46">
        <f>Details!W38</f>
        <v>38000</v>
      </c>
      <c r="G36" s="11"/>
    </row>
    <row r="37" spans="1:7" ht="18.75">
      <c r="A37" s="155"/>
      <c r="B37" s="285" t="str">
        <f>Details!B39</f>
        <v>Health Committee</v>
      </c>
      <c r="C37" s="142">
        <f>Details!L39</f>
        <v>0</v>
      </c>
      <c r="D37" s="358">
        <f>Details!U39</f>
        <v>3200</v>
      </c>
      <c r="E37" s="351">
        <f t="shared" si="0"/>
        <v>9.2753623188405798E-2</v>
      </c>
      <c r="F37" s="46">
        <f>Details!W39</f>
        <v>34500</v>
      </c>
      <c r="G37" s="11"/>
    </row>
    <row r="38" spans="1:7" ht="18.75">
      <c r="A38" s="155"/>
      <c r="B38" s="285" t="str">
        <f>Details!B40</f>
        <v>Hospitality Committee</v>
      </c>
      <c r="C38" s="142">
        <f>Details!L40</f>
        <v>0</v>
      </c>
      <c r="D38" s="358">
        <f>Details!U40</f>
        <v>21990</v>
      </c>
      <c r="E38" s="351">
        <f t="shared" si="0"/>
        <v>8.3675799086757985E-2</v>
      </c>
      <c r="F38" s="46">
        <f>Details!W40</f>
        <v>262800</v>
      </c>
      <c r="G38" s="11"/>
    </row>
    <row r="39" spans="1:7" ht="18.75">
      <c r="A39" s="155"/>
      <c r="B39" s="285" t="str">
        <f>Details!B41</f>
        <v>Media/Sound Unit</v>
      </c>
      <c r="C39" s="142">
        <f>Details!L41</f>
        <v>0</v>
      </c>
      <c r="D39" s="358">
        <f>Details!U41</f>
        <v>46400</v>
      </c>
      <c r="E39" s="351">
        <f t="shared" si="0"/>
        <v>0.30933333333333335</v>
      </c>
      <c r="F39" s="46">
        <f>Details!W41</f>
        <v>150000</v>
      </c>
      <c r="G39" s="11"/>
    </row>
    <row r="40" spans="1:7" ht="18.75">
      <c r="A40" s="155"/>
      <c r="B40" s="285" t="str">
        <f>Details!B42</f>
        <v>MMU</v>
      </c>
      <c r="C40" s="142">
        <f>Details!L42</f>
        <v>0</v>
      </c>
      <c r="D40" s="358">
        <f>Details!U42</f>
        <v>600</v>
      </c>
      <c r="E40" s="351">
        <f t="shared" si="0"/>
        <v>1.2E-2</v>
      </c>
      <c r="F40" s="46">
        <f>Details!W42</f>
        <v>50000</v>
      </c>
      <c r="G40" s="11"/>
    </row>
    <row r="41" spans="1:7" ht="18.75">
      <c r="A41" s="155"/>
      <c r="B41" s="285" t="str">
        <f>Details!B43</f>
        <v>Music Department</v>
      </c>
      <c r="C41" s="142">
        <f>Details!L43</f>
        <v>0</v>
      </c>
      <c r="D41" s="358">
        <f>Details!U43</f>
        <v>49000</v>
      </c>
      <c r="E41" s="351">
        <f t="shared" si="0"/>
        <v>0.17437722419928825</v>
      </c>
      <c r="F41" s="46">
        <f>Details!W43</f>
        <v>281000</v>
      </c>
      <c r="G41" s="11"/>
    </row>
    <row r="42" spans="1:7" ht="18.75">
      <c r="A42" s="155"/>
      <c r="B42" s="285" t="str">
        <f>Details!B44</f>
        <v>Nominating</v>
      </c>
      <c r="C42" s="142">
        <f>Details!L44</f>
        <v>0</v>
      </c>
      <c r="D42" s="358">
        <f>Details!U44</f>
        <v>0</v>
      </c>
      <c r="E42" s="351" t="e">
        <f t="shared" si="0"/>
        <v>#DIV/0!</v>
      </c>
      <c r="F42" s="46">
        <f>Details!W44</f>
        <v>0</v>
      </c>
      <c r="G42" s="11"/>
    </row>
    <row r="43" spans="1:7" ht="18.75">
      <c r="A43" s="155"/>
      <c r="B43" s="285" t="str">
        <f>Details!B45</f>
        <v>Property Committee</v>
      </c>
      <c r="C43" s="142">
        <f>Details!L45</f>
        <v>0</v>
      </c>
      <c r="D43" s="358">
        <f>Details!U45</f>
        <v>6000</v>
      </c>
      <c r="E43" s="351">
        <f t="shared" si="0"/>
        <v>0.03</v>
      </c>
      <c r="F43" s="46">
        <f>Details!W45</f>
        <v>200000</v>
      </c>
      <c r="G43" s="11"/>
    </row>
    <row r="44" spans="1:7" ht="18.75">
      <c r="A44" s="155"/>
      <c r="B44" s="285" t="str">
        <f>Details!B46</f>
        <v>Personnel</v>
      </c>
      <c r="C44" s="142">
        <f>Details!L46</f>
        <v>0</v>
      </c>
      <c r="D44" s="358">
        <f>Details!U46</f>
        <v>0</v>
      </c>
      <c r="E44" s="351" t="e">
        <f t="shared" si="0"/>
        <v>#DIV/0!</v>
      </c>
      <c r="F44" s="46">
        <f>Details!W46</f>
        <v>0</v>
      </c>
      <c r="G44" s="11"/>
    </row>
    <row r="45" spans="1:7" ht="18.75">
      <c r="A45" s="155"/>
      <c r="B45" s="285" t="str">
        <f>Details!B47</f>
        <v>Sanctuary supplies</v>
      </c>
      <c r="C45" s="142">
        <f>Details!L47</f>
        <v>0</v>
      </c>
      <c r="D45" s="358">
        <f>Details!U47</f>
        <v>75500</v>
      </c>
      <c r="E45" s="351">
        <f t="shared" si="0"/>
        <v>0.25166666666666665</v>
      </c>
      <c r="F45" s="46">
        <f>Details!W47</f>
        <v>300000</v>
      </c>
      <c r="G45" s="11"/>
    </row>
    <row r="46" spans="1:7" ht="18.75">
      <c r="A46" s="155"/>
      <c r="B46" s="285" t="str">
        <f>Details!B48</f>
        <v>Stewardship</v>
      </c>
      <c r="C46" s="142">
        <f>Details!L48</f>
        <v>0</v>
      </c>
      <c r="D46" s="358">
        <f>Details!U48</f>
        <v>0</v>
      </c>
      <c r="E46" s="351">
        <f t="shared" si="0"/>
        <v>0</v>
      </c>
      <c r="F46" s="46">
        <f>Details!W48</f>
        <v>10000</v>
      </c>
      <c r="G46" s="11"/>
    </row>
    <row r="47" spans="1:7" ht="18.75">
      <c r="A47" s="155"/>
      <c r="B47" s="285" t="str">
        <f>Details!B49</f>
        <v xml:space="preserve">Sunday School </v>
      </c>
      <c r="C47" s="142">
        <f>Details!L49</f>
        <v>0</v>
      </c>
      <c r="D47" s="358">
        <f>Details!U49</f>
        <v>31400</v>
      </c>
      <c r="E47" s="351">
        <f t="shared" si="0"/>
        <v>0.8306878306878307</v>
      </c>
      <c r="F47" s="46">
        <f>Details!W49</f>
        <v>37800</v>
      </c>
      <c r="G47" s="11"/>
    </row>
    <row r="48" spans="1:7" ht="18.75">
      <c r="A48" s="155"/>
      <c r="B48" s="285" t="str">
        <f>Details!B50</f>
        <v>Ushers Committee</v>
      </c>
      <c r="C48" s="142">
        <f>Details!L50</f>
        <v>0</v>
      </c>
      <c r="D48" s="358">
        <f>Details!U50</f>
        <v>2500</v>
      </c>
      <c r="E48" s="351">
        <f t="shared" si="0"/>
        <v>0.3125</v>
      </c>
      <c r="F48" s="46">
        <f>Details!W50</f>
        <v>8000</v>
      </c>
      <c r="G48" s="11"/>
    </row>
    <row r="49" spans="1:7" ht="18.75">
      <c r="A49" s="155"/>
      <c r="B49" s="285" t="str">
        <f>Details!B51</f>
        <v>Visitation Committee</v>
      </c>
      <c r="C49" s="142">
        <f>Details!L51</f>
        <v>0</v>
      </c>
      <c r="D49" s="358">
        <f>Details!U51</f>
        <v>7500</v>
      </c>
      <c r="E49" s="351">
        <f t="shared" si="0"/>
        <v>0.46875</v>
      </c>
      <c r="F49" s="46">
        <f>Details!W51</f>
        <v>16000</v>
      </c>
      <c r="G49" s="11"/>
    </row>
    <row r="50" spans="1:7" ht="18.75">
      <c r="A50" s="155"/>
      <c r="B50" s="285" t="str">
        <f>Details!B52</f>
        <v>WMU</v>
      </c>
      <c r="C50" s="142">
        <f>Details!L52</f>
        <v>0</v>
      </c>
      <c r="D50" s="358">
        <f>Details!U52</f>
        <v>48000</v>
      </c>
      <c r="E50" s="351">
        <f t="shared" si="0"/>
        <v>0.59627329192546585</v>
      </c>
      <c r="F50" s="46">
        <f>Details!W52</f>
        <v>80500</v>
      </c>
      <c r="G50" s="11"/>
    </row>
    <row r="51" spans="1:7" ht="18.75">
      <c r="A51" s="155"/>
      <c r="B51" s="285" t="str">
        <f>Details!B53</f>
        <v>Youth Fellowship</v>
      </c>
      <c r="C51" s="142">
        <f>Details!L53</f>
        <v>0</v>
      </c>
      <c r="D51" s="358">
        <f>Details!U53</f>
        <v>94000</v>
      </c>
      <c r="E51" s="351">
        <f t="shared" si="0"/>
        <v>1.1325301204819278</v>
      </c>
      <c r="F51" s="46">
        <f>Details!W53</f>
        <v>83000</v>
      </c>
      <c r="G51" s="11"/>
    </row>
    <row r="52" spans="1:7" ht="18.75">
      <c r="A52" s="155"/>
      <c r="B52" s="285" t="str">
        <f>Details!B54</f>
        <v>Teenagers</v>
      </c>
      <c r="C52" s="142">
        <f>Details!L54</f>
        <v>0</v>
      </c>
      <c r="D52" s="358">
        <f>Details!U54</f>
        <v>34400</v>
      </c>
      <c r="E52" s="351"/>
      <c r="F52" s="46">
        <f>Details!W54</f>
        <v>20000</v>
      </c>
      <c r="G52" s="11"/>
    </row>
    <row r="53" spans="1:7" ht="18.75">
      <c r="A53" s="155"/>
      <c r="B53" s="285"/>
      <c r="C53" s="142">
        <f>Details!L55</f>
        <v>0</v>
      </c>
      <c r="D53" s="361">
        <f>Details!U55</f>
        <v>0</v>
      </c>
      <c r="E53" s="354"/>
      <c r="F53" s="46">
        <f>Details!W55</f>
        <v>0</v>
      </c>
      <c r="G53" s="11"/>
    </row>
    <row r="54" spans="1:7" ht="18.75">
      <c r="A54" s="155"/>
      <c r="B54" s="285"/>
      <c r="C54" s="142"/>
      <c r="D54" s="358"/>
      <c r="E54" s="351"/>
      <c r="F54" s="46">
        <f>Details!W56</f>
        <v>0</v>
      </c>
      <c r="G54" s="11"/>
    </row>
    <row r="55" spans="1:7" ht="18.75">
      <c r="A55" s="155"/>
      <c r="B55" s="300" t="str">
        <f>Details!B57</f>
        <v>B. CHURCH STAFF</v>
      </c>
      <c r="C55" s="141">
        <f>Details!L57</f>
        <v>0</v>
      </c>
      <c r="D55" s="361">
        <f>Details!U57</f>
        <v>1295169.53</v>
      </c>
      <c r="E55" s="354">
        <f t="shared" si="0"/>
        <v>0.44663907568641337</v>
      </c>
      <c r="F55" s="46">
        <f>Details!W57</f>
        <v>2899812.4</v>
      </c>
      <c r="G55" s="11"/>
    </row>
    <row r="56" spans="1:7" ht="18.75">
      <c r="A56" s="155"/>
      <c r="B56" s="285" t="str">
        <f>Details!B58</f>
        <v>Church Pastor (salaries and allowances)</v>
      </c>
      <c r="C56" s="142">
        <f>Details!L58</f>
        <v>0</v>
      </c>
      <c r="D56" s="358">
        <f>Details!U58</f>
        <v>674440.77</v>
      </c>
      <c r="E56" s="351">
        <f t="shared" si="0"/>
        <v>0.41245127227746647</v>
      </c>
      <c r="F56" s="46">
        <f>Details!W58</f>
        <v>1635201.09</v>
      </c>
      <c r="G56" s="11"/>
    </row>
    <row r="57" spans="1:7" ht="15" customHeight="1">
      <c r="A57" s="155"/>
      <c r="B57" s="285" t="str">
        <f>Details!B59</f>
        <v>Other Pastors</v>
      </c>
      <c r="C57" s="142">
        <f>Details!L59</f>
        <v>0</v>
      </c>
      <c r="D57" s="358">
        <f>Details!U59</f>
        <v>418634</v>
      </c>
      <c r="E57" s="351">
        <f t="shared" si="0"/>
        <v>0.52991645569620249</v>
      </c>
      <c r="F57" s="46">
        <f>Details!W59</f>
        <v>790000</v>
      </c>
      <c r="G57" s="11"/>
    </row>
    <row r="58" spans="1:7" ht="18.75">
      <c r="A58" s="155"/>
      <c r="B58" s="285" t="str">
        <f>Details!B60</f>
        <v>Janitor</v>
      </c>
      <c r="C58" s="142">
        <f>Details!L60</f>
        <v>0</v>
      </c>
      <c r="D58" s="358">
        <f>Details!U60</f>
        <v>202094.76</v>
      </c>
      <c r="E58" s="351">
        <f t="shared" si="0"/>
        <v>0.42581109160672975</v>
      </c>
      <c r="F58" s="46">
        <f>Details!W60</f>
        <v>474611.31</v>
      </c>
      <c r="G58" s="11"/>
    </row>
    <row r="59" spans="1:7" ht="18.75">
      <c r="A59" s="155"/>
      <c r="B59" s="285" t="str">
        <f>Details!B61</f>
        <v>Appreciation service for Pastor</v>
      </c>
      <c r="C59" s="142">
        <f>Details!L61</f>
        <v>0</v>
      </c>
      <c r="D59" s="358">
        <f>Details!U61</f>
        <v>0</v>
      </c>
      <c r="E59" s="351" t="e">
        <f>D59/F59</f>
        <v>#DIV/0!</v>
      </c>
      <c r="F59" s="46">
        <f>Details!W61</f>
        <v>0</v>
      </c>
      <c r="G59" s="11"/>
    </row>
    <row r="60" spans="1:7" ht="18.75">
      <c r="A60" s="155"/>
      <c r="B60" s="300" t="str">
        <f>Details!B62</f>
        <v>C. OPERATION COSTS</v>
      </c>
      <c r="C60" s="149">
        <f>Details!L62</f>
        <v>0</v>
      </c>
      <c r="D60" s="361">
        <f>Details!U62</f>
        <v>829740.71924999997</v>
      </c>
      <c r="E60" s="354">
        <f t="shared" si="0"/>
        <v>0.77647456414935423</v>
      </c>
      <c r="F60" s="46">
        <f>Details!W62</f>
        <v>1068600</v>
      </c>
      <c r="G60" s="11"/>
    </row>
    <row r="61" spans="1:7" ht="37.5">
      <c r="A61" s="155"/>
      <c r="B61" s="302" t="str">
        <f>Details!B64</f>
        <v xml:space="preserve">Bank charges: sms, maintenance, VAT etc. </v>
      </c>
      <c r="C61" s="148">
        <f>Details!L64</f>
        <v>0</v>
      </c>
      <c r="D61" s="359">
        <f>Details!U64</f>
        <v>15220.720000000001</v>
      </c>
      <c r="E61" s="353">
        <f t="shared" si="0"/>
        <v>0.69185090909090918</v>
      </c>
      <c r="F61" s="345">
        <f>Details!W64</f>
        <v>22000</v>
      </c>
      <c r="G61" s="11"/>
    </row>
    <row r="62" spans="1:7" ht="18.75">
      <c r="A62" s="155"/>
      <c r="B62" s="285" t="str">
        <f>Details!B65</f>
        <v>Church Council refreshments</v>
      </c>
      <c r="C62" s="142">
        <f>Details!L65</f>
        <v>0</v>
      </c>
      <c r="D62" s="358">
        <f>Details!U65</f>
        <v>8000</v>
      </c>
      <c r="E62" s="351">
        <f t="shared" si="0"/>
        <v>0.33333333333333331</v>
      </c>
      <c r="F62" s="46">
        <f>Details!W65</f>
        <v>24000</v>
      </c>
      <c r="G62" s="11"/>
    </row>
    <row r="63" spans="1:7" ht="18.75">
      <c r="A63" s="155"/>
      <c r="B63" s="285" t="str">
        <f>Details!B66</f>
        <v>Church secreteriat</v>
      </c>
      <c r="C63" s="142">
        <f>Details!L66</f>
        <v>0</v>
      </c>
      <c r="D63" s="358">
        <f>Details!U66</f>
        <v>55470</v>
      </c>
      <c r="E63" s="351">
        <f t="shared" si="0"/>
        <v>0.92449999999999999</v>
      </c>
      <c r="F63" s="46">
        <f>Details!W66</f>
        <v>60000</v>
      </c>
      <c r="G63" s="11"/>
    </row>
    <row r="64" spans="1:7" ht="18.75">
      <c r="A64" s="155"/>
      <c r="B64" s="285" t="str">
        <f>Details!B67</f>
        <v>Convention session</v>
      </c>
      <c r="C64" s="142">
        <f>Details!L67</f>
        <v>0</v>
      </c>
      <c r="D64" s="358">
        <f>Details!U67</f>
        <v>122500</v>
      </c>
      <c r="E64" s="351">
        <f t="shared" si="0"/>
        <v>6.125</v>
      </c>
      <c r="F64" s="46">
        <f>Details!W67</f>
        <v>20000</v>
      </c>
      <c r="G64" s="11"/>
    </row>
    <row r="65" spans="1:7" ht="18.75">
      <c r="A65" s="155"/>
      <c r="B65" s="285" t="str">
        <f>Details!B68</f>
        <v>Electricity - church auditorium</v>
      </c>
      <c r="C65" s="142">
        <f>Details!L68</f>
        <v>0</v>
      </c>
      <c r="D65" s="358">
        <f>Details!U68</f>
        <v>20000</v>
      </c>
      <c r="E65" s="351">
        <f t="shared" si="0"/>
        <v>0.625</v>
      </c>
      <c r="F65" s="46">
        <f>Details!W68</f>
        <v>32000</v>
      </c>
      <c r="G65" s="11"/>
    </row>
    <row r="66" spans="1:7" ht="18.75">
      <c r="A66" s="155"/>
      <c r="B66" s="285" t="str">
        <f>Details!B69</f>
        <v>Electricity - Pastorium</v>
      </c>
      <c r="C66" s="142">
        <f>Details!L69</f>
        <v>0</v>
      </c>
      <c r="D66" s="358">
        <f>Details!U69</f>
        <v>10000</v>
      </c>
      <c r="E66" s="351">
        <f t="shared" si="0"/>
        <v>0.20833333333333334</v>
      </c>
      <c r="F66" s="46">
        <f>Details!W69</f>
        <v>48000</v>
      </c>
      <c r="G66" s="11"/>
    </row>
    <row r="67" spans="1:7" ht="37.5">
      <c r="A67" s="155"/>
      <c r="B67" s="302" t="str">
        <f>Details!B70</f>
        <v>Generators - fuel and maintenance church auditorium</v>
      </c>
      <c r="C67" s="148">
        <f>Details!L70</f>
        <v>0</v>
      </c>
      <c r="D67" s="359">
        <f>Details!U70</f>
        <v>136849.99924999999</v>
      </c>
      <c r="E67" s="353">
        <f t="shared" si="0"/>
        <v>0.51479269803888994</v>
      </c>
      <c r="F67" s="345">
        <f>Details!W70</f>
        <v>265835.15999999997</v>
      </c>
      <c r="G67" s="11"/>
    </row>
    <row r="68" spans="1:7" ht="37.5">
      <c r="A68" s="155"/>
      <c r="B68" s="302" t="str">
        <f>Details!B71</f>
        <v>Generators - fuel and maintenance pastorium</v>
      </c>
      <c r="C68" s="148">
        <f>Details!L71</f>
        <v>0</v>
      </c>
      <c r="D68" s="358">
        <f>Details!U71</f>
        <v>99900</v>
      </c>
      <c r="E68" s="351">
        <f t="shared" si="0"/>
        <v>0.90191075074003635</v>
      </c>
      <c r="F68" s="46">
        <f>Details!W71</f>
        <v>110764.84</v>
      </c>
      <c r="G68" s="11"/>
    </row>
    <row r="69" spans="1:7" ht="18.75">
      <c r="A69" s="155"/>
      <c r="B69" s="285" t="str">
        <f>Details!B72</f>
        <v>Keep fit instructor</v>
      </c>
      <c r="C69" s="142">
        <f>Details!L72</f>
        <v>0</v>
      </c>
      <c r="D69" s="359">
        <f>Details!U72</f>
        <v>0</v>
      </c>
      <c r="E69" s="353" t="e">
        <f t="shared" si="0"/>
        <v>#DIV/0!</v>
      </c>
      <c r="F69" s="46">
        <f>Details!W72</f>
        <v>0</v>
      </c>
      <c r="G69" s="11"/>
    </row>
    <row r="70" spans="1:7" ht="18.75">
      <c r="A70" s="155"/>
      <c r="B70" s="285" t="str">
        <f>Details!B73</f>
        <v xml:space="preserve">Ministers' Conference </v>
      </c>
      <c r="C70" s="142">
        <f>Details!L73</f>
        <v>0</v>
      </c>
      <c r="D70" s="358">
        <f>Details!U73</f>
        <v>0</v>
      </c>
      <c r="E70" s="351">
        <f t="shared" ref="E70:E109" si="1">D70/F70</f>
        <v>0</v>
      </c>
      <c r="F70" s="46">
        <f>Details!W73</f>
        <v>6000</v>
      </c>
      <c r="G70" s="11"/>
    </row>
    <row r="71" spans="1:7" ht="57.75" customHeight="1">
      <c r="A71" s="155"/>
      <c r="B71" s="302" t="str">
        <f>Details!B74</f>
        <v>Miscellanous (transport for CAN Minister, honorarium for supervisor)</v>
      </c>
      <c r="C71" s="148">
        <f>Details!L74</f>
        <v>0</v>
      </c>
      <c r="D71" s="359">
        <f>Details!U74</f>
        <v>18000</v>
      </c>
      <c r="E71" s="353">
        <f t="shared" si="1"/>
        <v>0.36</v>
      </c>
      <c r="F71" s="46">
        <f>Details!W74</f>
        <v>50000</v>
      </c>
      <c r="G71" s="11"/>
    </row>
    <row r="72" spans="1:7" ht="18.75">
      <c r="A72" s="155"/>
      <c r="B72" s="285" t="str">
        <f>Details!B75</f>
        <v>Motorcycle</v>
      </c>
      <c r="C72" s="142">
        <f>Details!L75</f>
        <v>0</v>
      </c>
      <c r="D72" s="359">
        <f>Details!U75</f>
        <v>3800</v>
      </c>
      <c r="E72" s="353" t="e">
        <f t="shared" si="1"/>
        <v>#DIV/0!</v>
      </c>
      <c r="F72" s="46">
        <f>Details!W75</f>
        <v>0</v>
      </c>
      <c r="G72" s="11"/>
    </row>
    <row r="73" spans="1:7" ht="24" customHeight="1">
      <c r="A73" s="155"/>
      <c r="B73" s="377" t="str">
        <f>Details!B76</f>
        <v>Ogbomoso Conference</v>
      </c>
      <c r="C73" s="148">
        <f>Details!L76</f>
        <v>0</v>
      </c>
      <c r="D73" s="358">
        <f>Details!U76</f>
        <v>0</v>
      </c>
      <c r="E73" s="351">
        <f t="shared" si="1"/>
        <v>0</v>
      </c>
      <c r="F73" s="46">
        <f>Details!W76</f>
        <v>25000</v>
      </c>
      <c r="G73" s="11"/>
    </row>
    <row r="74" spans="1:7" ht="18.75">
      <c r="A74" s="155"/>
      <c r="B74" s="285" t="str">
        <f>Details!B77</f>
        <v xml:space="preserve">Pastorium rent &amp; maintenance </v>
      </c>
      <c r="C74" s="142">
        <f>Details!L77</f>
        <v>0</v>
      </c>
      <c r="D74" s="358">
        <f>Details!U77</f>
        <v>0</v>
      </c>
      <c r="E74" s="351">
        <f t="shared" si="1"/>
        <v>0</v>
      </c>
      <c r="F74" s="46">
        <f>Details!W77</f>
        <v>150000</v>
      </c>
      <c r="G74" s="11"/>
    </row>
    <row r="75" spans="1:7" ht="18.75">
      <c r="A75" s="155"/>
      <c r="B75" s="285" t="str">
        <f>Details!B78</f>
        <v>Pastors Wives' retreat</v>
      </c>
      <c r="C75" s="142">
        <f>Details!L78</f>
        <v>0</v>
      </c>
      <c r="D75" s="358">
        <f>Details!U78</f>
        <v>0</v>
      </c>
      <c r="E75" s="351">
        <f t="shared" si="1"/>
        <v>0</v>
      </c>
      <c r="F75" s="46">
        <f>Details!W78</f>
        <v>5000</v>
      </c>
      <c r="G75" s="11"/>
    </row>
    <row r="76" spans="1:7" ht="37.5">
      <c r="A76" s="155"/>
      <c r="B76" s="312" t="str">
        <f>Details!B79</f>
        <v>Workers' retreat organized by the church</v>
      </c>
      <c r="C76" s="148">
        <f>Details!L79</f>
        <v>0</v>
      </c>
      <c r="D76" s="359">
        <f>Details!U79</f>
        <v>40000</v>
      </c>
      <c r="E76" s="351"/>
      <c r="F76" s="46">
        <f>Details!W79</f>
        <v>50000</v>
      </c>
      <c r="G76" s="11"/>
    </row>
    <row r="77" spans="1:7" ht="18.75">
      <c r="A77" s="155"/>
      <c r="B77" s="285"/>
      <c r="C77" s="142"/>
      <c r="D77" s="358"/>
      <c r="E77" s="351"/>
      <c r="F77" s="46"/>
      <c r="G77" s="11"/>
    </row>
    <row r="78" spans="1:7" ht="37.5">
      <c r="A78" s="155"/>
      <c r="B78" s="296" t="str">
        <f>Details!B81</f>
        <v>D. NEW AUDITORIUM &amp; OTHER PROJECTS</v>
      </c>
      <c r="C78" s="149">
        <f>Details!L81</f>
        <v>0</v>
      </c>
      <c r="D78" s="360">
        <f>Details!U81</f>
        <v>3855996.88</v>
      </c>
      <c r="E78" s="352">
        <f t="shared" si="1"/>
        <v>0.92870830443159924</v>
      </c>
      <c r="F78" s="345">
        <f>Details!W81</f>
        <v>4152000</v>
      </c>
      <c r="G78" s="11"/>
    </row>
    <row r="79" spans="1:7" ht="18.75">
      <c r="A79" s="155"/>
      <c r="B79" s="285" t="str">
        <f>Details!B82</f>
        <v>Bank charges - Access bank</v>
      </c>
      <c r="C79" s="142">
        <f>Details!L82</f>
        <v>0</v>
      </c>
      <c r="D79" s="358">
        <f>Details!U82</f>
        <v>4666.88</v>
      </c>
      <c r="E79" s="351">
        <f t="shared" si="1"/>
        <v>2.33344</v>
      </c>
      <c r="F79" s="46">
        <f>Details!W82</f>
        <v>2000</v>
      </c>
      <c r="G79" s="11"/>
    </row>
    <row r="80" spans="1:7" ht="18.75">
      <c r="A80" s="155"/>
      <c r="B80" s="285" t="str">
        <f>Details!B83</f>
        <v>Borehole</v>
      </c>
      <c r="C80" s="142">
        <f>Details!L83</f>
        <v>0</v>
      </c>
      <c r="D80" s="362">
        <f>Details!U83</f>
        <v>561230</v>
      </c>
      <c r="E80" s="353">
        <f t="shared" si="1"/>
        <v>0.86343076923076922</v>
      </c>
      <c r="F80" s="46">
        <f>Details!W83</f>
        <v>650000</v>
      </c>
      <c r="G80" s="11"/>
    </row>
    <row r="81" spans="1:7" ht="18.75">
      <c r="A81" s="155"/>
      <c r="B81" s="285" t="str">
        <f>Details!B84</f>
        <v>Development loan refund</v>
      </c>
      <c r="C81" s="141">
        <f>Details!L84</f>
        <v>0</v>
      </c>
      <c r="D81" s="359">
        <f>Details!U84</f>
        <v>0</v>
      </c>
      <c r="E81" s="353" t="e">
        <f t="shared" si="1"/>
        <v>#DIV/0!</v>
      </c>
      <c r="F81" s="46">
        <f>Details!W84</f>
        <v>0</v>
      </c>
      <c r="G81" s="11"/>
    </row>
    <row r="82" spans="1:7" ht="18.75">
      <c r="A82" s="155"/>
      <c r="B82" s="285" t="str">
        <f>Details!B85</f>
        <v>Gift-in-kind towards church auditorium</v>
      </c>
      <c r="C82" s="148">
        <f>Details!L85</f>
        <v>0</v>
      </c>
      <c r="D82" s="359">
        <f>Details!U85</f>
        <v>20800</v>
      </c>
      <c r="E82" s="353"/>
      <c r="F82" s="46">
        <f>Details!W85</f>
        <v>0</v>
      </c>
      <c r="G82" s="11"/>
    </row>
    <row r="83" spans="1:7" ht="18.75">
      <c r="A83" s="155"/>
      <c r="B83" s="285" t="str">
        <f>Details!B86</f>
        <v>New  auditorium - block work, columns and roof beam</v>
      </c>
      <c r="C83" s="148">
        <f>Details!L86</f>
        <v>0</v>
      </c>
      <c r="D83" s="358">
        <f>Details!U86</f>
        <v>3269300</v>
      </c>
      <c r="E83" s="351">
        <f t="shared" si="1"/>
        <v>0.9340857142857143</v>
      </c>
      <c r="F83" s="46">
        <f>Details!W86</f>
        <v>3500000</v>
      </c>
      <c r="G83" s="11"/>
    </row>
    <row r="84" spans="1:7" ht="18.75">
      <c r="A84" s="155"/>
      <c r="B84" s="285" t="str">
        <f>Details!B87</f>
        <v>Erection of new sign posts</v>
      </c>
      <c r="C84" s="148">
        <f>Details!L87</f>
        <v>0</v>
      </c>
      <c r="D84" s="361">
        <f>Details!U87</f>
        <v>0</v>
      </c>
      <c r="E84" s="351" t="e">
        <f t="shared" si="1"/>
        <v>#DIV/0!</v>
      </c>
      <c r="F84" s="46">
        <f>Details!W87</f>
        <v>0</v>
      </c>
      <c r="G84" s="11"/>
    </row>
    <row r="85" spans="1:7" ht="18.75">
      <c r="A85" s="155"/>
      <c r="B85" s="285"/>
      <c r="C85" s="142"/>
      <c r="D85" s="358"/>
      <c r="E85" s="351"/>
      <c r="F85" s="46"/>
      <c r="G85" s="11"/>
    </row>
    <row r="86" spans="1:7" ht="18.75">
      <c r="A86" s="155"/>
      <c r="B86" s="300" t="str">
        <f>Details!B89</f>
        <v>E. COOPERATIVE FUNDS</v>
      </c>
      <c r="C86" s="141">
        <f>Details!L89</f>
        <v>0</v>
      </c>
      <c r="D86" s="358">
        <f>Details!U89</f>
        <v>918475.7</v>
      </c>
      <c r="E86" s="351">
        <f t="shared" si="1"/>
        <v>0.37937864518793885</v>
      </c>
      <c r="F86" s="46">
        <f>Details!W89</f>
        <v>2421000</v>
      </c>
      <c r="G86" s="11"/>
    </row>
    <row r="87" spans="1:7" ht="56.25">
      <c r="A87" s="155"/>
      <c r="B87" s="302" t="str">
        <f>Details!B90</f>
        <v>Association contributions - 3% of tithes &amp; SS, thanksgiving and general offerings</v>
      </c>
      <c r="C87" s="142">
        <f>Details!L90</f>
        <v>0</v>
      </c>
      <c r="D87" s="358">
        <f>Details!U90</f>
        <v>91847.51999999999</v>
      </c>
      <c r="E87" s="351">
        <f t="shared" si="1"/>
        <v>0.37937843866171</v>
      </c>
      <c r="F87" s="46">
        <f>Details!W90</f>
        <v>242100</v>
      </c>
      <c r="G87" s="11"/>
    </row>
    <row r="88" spans="1:7" ht="56.25">
      <c r="A88" s="155"/>
      <c r="B88" s="302" t="str">
        <f>Details!B91</f>
        <v>Conference contributions - 7% of tithes &amp;  SS, thanksgiving and general offerings</v>
      </c>
      <c r="C88" s="142">
        <f>Details!L91</f>
        <v>0</v>
      </c>
      <c r="D88" s="359">
        <f>Details!U91</f>
        <v>214310.88</v>
      </c>
      <c r="E88" s="353">
        <f t="shared" si="1"/>
        <v>0.37937843866171006</v>
      </c>
      <c r="F88" s="46">
        <f>Details!W91</f>
        <v>564900</v>
      </c>
      <c r="G88" s="11"/>
    </row>
    <row r="89" spans="1:7" ht="56.25">
      <c r="A89" s="155"/>
      <c r="B89" s="302" t="str">
        <f>Details!B92</f>
        <v>Convention contributions - 20% of tithes &amp; SS, thanksgiving and general  offerings</v>
      </c>
      <c r="C89" s="148">
        <f>Details!L92</f>
        <v>0</v>
      </c>
      <c r="D89" s="359">
        <f>Details!U92</f>
        <v>612317.30000000005</v>
      </c>
      <c r="E89" s="353">
        <f t="shared" si="1"/>
        <v>0.37937874845105329</v>
      </c>
      <c r="F89" s="46">
        <f>Details!W92</f>
        <v>1614000</v>
      </c>
      <c r="G89" s="11"/>
    </row>
    <row r="90" spans="1:7" ht="18.75">
      <c r="A90" s="155"/>
      <c r="B90" s="285"/>
      <c r="C90" s="141"/>
      <c r="D90" s="358"/>
      <c r="E90" s="351"/>
      <c r="F90" s="46"/>
      <c r="G90" s="11"/>
    </row>
    <row r="91" spans="1:7" ht="18.75">
      <c r="A91" s="155"/>
      <c r="B91" s="300" t="str">
        <f>Details!B94</f>
        <v>F. DESIGNATED SAVINGS</v>
      </c>
      <c r="C91" s="149">
        <f>Details!L94</f>
        <v>0</v>
      </c>
      <c r="D91" s="361">
        <v>0</v>
      </c>
      <c r="E91" s="351"/>
      <c r="F91" s="46"/>
      <c r="G91" s="11"/>
    </row>
    <row r="92" spans="1:7" ht="37.5">
      <c r="A92" s="155"/>
      <c r="B92" s="302" t="str">
        <f>Details!B95</f>
        <v>Pastorium (rent, development of land etc.)</v>
      </c>
      <c r="C92" s="142">
        <f>Details!L95</f>
        <v>0</v>
      </c>
      <c r="D92" s="358">
        <f>Details!U95</f>
        <v>0</v>
      </c>
      <c r="E92" s="351" t="e">
        <f t="shared" si="1"/>
        <v>#DIV/0!</v>
      </c>
      <c r="F92" s="46"/>
      <c r="G92" s="11"/>
    </row>
    <row r="93" spans="1:7" ht="18.75">
      <c r="A93" s="155"/>
      <c r="B93" s="285" t="str">
        <f>Details!B96</f>
        <v>New auditorium</v>
      </c>
      <c r="C93" s="142">
        <f>Details!L96</f>
        <v>0</v>
      </c>
      <c r="D93" s="358">
        <v>0</v>
      </c>
      <c r="E93" s="351"/>
      <c r="F93" s="46"/>
      <c r="G93" s="11"/>
    </row>
    <row r="94" spans="1:7" ht="18.75">
      <c r="A94" s="155"/>
      <c r="B94" s="285"/>
      <c r="C94" s="142"/>
      <c r="D94" s="363"/>
      <c r="E94" s="351"/>
      <c r="F94" s="46"/>
      <c r="G94" s="11"/>
    </row>
    <row r="95" spans="1:7" ht="18.75">
      <c r="A95" s="155"/>
      <c r="B95" s="300" t="str">
        <f>Details!B98</f>
        <v>Total Expenditure</v>
      </c>
      <c r="C95" s="141">
        <f>Details!L98</f>
        <v>0</v>
      </c>
      <c r="D95" s="360">
        <f>Details!U98</f>
        <v>7915532.8292500004</v>
      </c>
      <c r="E95" s="352">
        <f t="shared" si="1"/>
        <v>0.56402492769993562</v>
      </c>
      <c r="F95" s="46">
        <f>Details!W98</f>
        <v>14034012.4</v>
      </c>
      <c r="G95" s="11"/>
    </row>
    <row r="96" spans="1:7" ht="37.5">
      <c r="A96" s="155"/>
      <c r="B96" s="296" t="str">
        <f>Details!B99</f>
        <v>Balances in the church's accounts plus imprest account</v>
      </c>
      <c r="C96" s="149">
        <f>Details!L99</f>
        <v>0</v>
      </c>
      <c r="D96" s="360">
        <f>C96</f>
        <v>0</v>
      </c>
      <c r="E96" s="351"/>
      <c r="F96" s="46">
        <f>Details!W99</f>
        <v>0</v>
      </c>
      <c r="G96" s="11"/>
    </row>
    <row r="97" spans="1:7" ht="18.75">
      <c r="A97" s="155"/>
      <c r="B97" s="285" t="str">
        <f>Details!B100</f>
        <v>First Bank of Nigeria</v>
      </c>
      <c r="C97" s="142">
        <f>Details!L100</f>
        <v>0</v>
      </c>
      <c r="D97" s="359">
        <f t="shared" ref="D97:D104" si="2">C97</f>
        <v>0</v>
      </c>
      <c r="E97" s="353"/>
      <c r="F97" s="46">
        <f>Details!W100</f>
        <v>0</v>
      </c>
      <c r="G97" s="11"/>
    </row>
    <row r="98" spans="1:7" ht="18.75">
      <c r="A98" s="155"/>
      <c r="B98" s="285" t="str">
        <f>Details!B101</f>
        <v>Add Cash/Cheque in-transit - FBN</v>
      </c>
      <c r="C98" s="142">
        <f>Details!L101</f>
        <v>0</v>
      </c>
      <c r="D98" s="360">
        <f t="shared" si="2"/>
        <v>0</v>
      </c>
      <c r="E98" s="352"/>
      <c r="F98" s="46">
        <f>Details!W101</f>
        <v>0</v>
      </c>
      <c r="G98" s="11"/>
    </row>
    <row r="99" spans="1:7" ht="18.75">
      <c r="A99" s="155"/>
      <c r="B99" s="285" t="str">
        <f>Details!B102</f>
        <v>Less Unpresented cheques - FBN</v>
      </c>
      <c r="C99" s="148">
        <f>Details!L102</f>
        <v>0</v>
      </c>
      <c r="D99" s="359">
        <f t="shared" si="2"/>
        <v>0</v>
      </c>
      <c r="E99" s="355"/>
      <c r="F99" s="46">
        <f>Details!W102</f>
        <v>0</v>
      </c>
      <c r="G99" s="11"/>
    </row>
    <row r="100" spans="1:7" ht="18.75">
      <c r="A100" s="364"/>
      <c r="B100" s="285" t="str">
        <f>Details!B103</f>
        <v>Randalpha MFB</v>
      </c>
      <c r="C100" s="142">
        <f>Details!L103</f>
        <v>0</v>
      </c>
      <c r="D100" s="365">
        <f t="shared" si="2"/>
        <v>0</v>
      </c>
      <c r="E100" s="343"/>
      <c r="F100" s="46">
        <f>Details!W103</f>
        <v>0</v>
      </c>
    </row>
    <row r="101" spans="1:7" ht="18.75">
      <c r="A101" s="19"/>
      <c r="B101" s="285" t="str">
        <f>Details!B104</f>
        <v>Access Bank</v>
      </c>
      <c r="C101" s="258">
        <f>Details!L104</f>
        <v>0</v>
      </c>
      <c r="D101" s="373">
        <f t="shared" si="2"/>
        <v>0</v>
      </c>
      <c r="E101" s="374"/>
      <c r="F101" s="46">
        <f>Details!W104</f>
        <v>0</v>
      </c>
    </row>
    <row r="102" spans="1:7" ht="37.5">
      <c r="A102" s="19"/>
      <c r="B102" s="302" t="str">
        <f>Details!B105</f>
        <v>Add Cash/Cheque in-transit - Access Bank</v>
      </c>
      <c r="C102" s="380">
        <f>Details!L105</f>
        <v>0</v>
      </c>
      <c r="D102" s="379">
        <f t="shared" si="2"/>
        <v>0</v>
      </c>
      <c r="E102" s="375"/>
      <c r="F102" s="46">
        <f>Details!W105</f>
        <v>0</v>
      </c>
    </row>
    <row r="103" spans="1:7" ht="18.75">
      <c r="A103" s="19"/>
      <c r="B103" s="285" t="str">
        <f>Details!B106</f>
        <v>Less Uncleared cheque - Access Bank</v>
      </c>
      <c r="C103" s="142">
        <f>Details!L106</f>
        <v>0</v>
      </c>
      <c r="D103" s="368">
        <f t="shared" si="2"/>
        <v>0</v>
      </c>
      <c r="E103" s="375"/>
      <c r="F103" s="46">
        <f>Details!W106</f>
        <v>0</v>
      </c>
    </row>
    <row r="104" spans="1:7" ht="18.75">
      <c r="A104" s="19"/>
      <c r="B104" s="285" t="str">
        <f>Details!B107</f>
        <v>Imprest account (cash on hand)</v>
      </c>
      <c r="C104" s="142">
        <f>Details!L107</f>
        <v>0</v>
      </c>
      <c r="D104" s="368">
        <f t="shared" si="2"/>
        <v>0</v>
      </c>
      <c r="E104" s="375"/>
      <c r="F104" s="46">
        <f>Details!W107</f>
        <v>0</v>
      </c>
    </row>
    <row r="105" spans="1:7" ht="18.75">
      <c r="A105" s="19"/>
      <c r="B105" s="300" t="str">
        <f>Details!B108</f>
        <v>CONSOLIDATED INCOME &amp; EXPENDITURE REPORT</v>
      </c>
      <c r="C105" s="142"/>
      <c r="D105" s="368"/>
      <c r="E105" s="375"/>
      <c r="F105" s="46">
        <f>Details!W108</f>
        <v>0</v>
      </c>
    </row>
    <row r="106" spans="1:7" ht="37.5">
      <c r="A106" s="19"/>
      <c r="B106" s="296" t="str">
        <f>Details!B109</f>
        <v>Income from all sources, including B/F from 2020</v>
      </c>
      <c r="C106" s="149">
        <f>Details!L109</f>
        <v>0</v>
      </c>
      <c r="D106" s="371">
        <f>Details!U109</f>
        <v>8160163.1500000004</v>
      </c>
      <c r="E106" s="376">
        <f t="shared" si="1"/>
        <v>0.65330572552695731</v>
      </c>
      <c r="F106" s="46">
        <f>Details!W109</f>
        <v>12490573.450000001</v>
      </c>
    </row>
    <row r="107" spans="1:7" ht="18.75">
      <c r="A107" s="19"/>
      <c r="B107" s="285" t="str">
        <f>Details!B110</f>
        <v>Total expenditure on new auditorium</v>
      </c>
      <c r="C107" s="142">
        <f>Details!L110</f>
        <v>0</v>
      </c>
      <c r="D107" s="368">
        <f>Details!U110</f>
        <v>3294766.88</v>
      </c>
      <c r="E107" s="375">
        <f t="shared" si="1"/>
        <v>0.94082435179897195</v>
      </c>
      <c r="F107" s="46">
        <f>Details!W110</f>
        <v>3502000</v>
      </c>
    </row>
    <row r="108" spans="1:7" ht="37.5">
      <c r="A108" s="19"/>
      <c r="B108" s="302" t="str">
        <f>Details!B111</f>
        <v>General expenditure including amount transferred to building fund</v>
      </c>
      <c r="C108" s="142">
        <f>Details!L111</f>
        <v>0</v>
      </c>
      <c r="D108" s="368">
        <f>Details!U111</f>
        <v>5320765.9492499996</v>
      </c>
      <c r="E108" s="375">
        <f t="shared" si="1"/>
        <v>0.37913362177519522</v>
      </c>
      <c r="F108" s="46">
        <f>Details!W111</f>
        <v>14034012.4</v>
      </c>
    </row>
    <row r="109" spans="1:7" ht="38.25" thickBot="1">
      <c r="A109" s="33"/>
      <c r="B109" s="313" t="str">
        <f>Details!B112</f>
        <v>Total expenditure: new auditorium &amp; general</v>
      </c>
      <c r="C109" s="366">
        <f>Details!L112</f>
        <v>0</v>
      </c>
      <c r="D109" s="381">
        <f>Details!U112</f>
        <v>7915532.8292500004</v>
      </c>
      <c r="E109" s="382">
        <f t="shared" si="1"/>
        <v>0.56402492769993562</v>
      </c>
      <c r="F109" s="378">
        <f>Details!W112</f>
        <v>14034012.4</v>
      </c>
    </row>
    <row r="110" spans="1:7" ht="16.5" thickTop="1">
      <c r="C110" s="369">
        <f>Details!L113</f>
        <v>0</v>
      </c>
      <c r="D110" s="369">
        <f>Details!U113</f>
        <v>244630.32074999996</v>
      </c>
      <c r="E110" s="367"/>
    </row>
    <row r="111" spans="1:7">
      <c r="D111" s="367"/>
      <c r="E111" s="367"/>
    </row>
  </sheetData>
  <mergeCells count="3">
    <mergeCell ref="A1:D1"/>
    <mergeCell ref="A2:D2"/>
    <mergeCell ref="A3:D3"/>
  </mergeCells>
  <pageMargins left="0.7" right="0.7" top="0.75" bottom="0.75" header="0.3" footer="0.3"/>
  <pageSetup paperSize="9" scale="66" fitToHeight="2"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K112"/>
  <sheetViews>
    <sheetView view="pageBreakPreview" zoomScaleSheetLayoutView="100" workbookViewId="0">
      <selection activeCell="C17" sqref="C17"/>
    </sheetView>
  </sheetViews>
  <sheetFormatPr defaultRowHeight="15"/>
  <cols>
    <col min="1" max="1" width="8.28515625" customWidth="1"/>
    <col min="2" max="2" width="44.7109375" customWidth="1"/>
    <col min="3" max="3" width="21.140625" customWidth="1"/>
    <col min="4" max="4" width="19.42578125" customWidth="1"/>
    <col min="5" max="5" width="15" style="388" customWidth="1"/>
    <col min="6" max="6" width="24" customWidth="1"/>
    <col min="7" max="7" width="22.140625" customWidth="1"/>
    <col min="8" max="8" width="34" customWidth="1"/>
  </cols>
  <sheetData>
    <row r="1" spans="1:8" ht="18" thickTop="1">
      <c r="A1" s="735" t="s">
        <v>30</v>
      </c>
      <c r="B1" s="736"/>
      <c r="C1" s="736"/>
      <c r="D1" s="736"/>
      <c r="E1" s="737"/>
    </row>
    <row r="2" spans="1:8" ht="17.25">
      <c r="A2" s="738" t="s">
        <v>163</v>
      </c>
      <c r="B2" s="739"/>
      <c r="C2" s="739"/>
      <c r="D2" s="739"/>
      <c r="E2" s="740"/>
    </row>
    <row r="3" spans="1:8" ht="17.25">
      <c r="A3" s="738" t="s">
        <v>176</v>
      </c>
      <c r="B3" s="739"/>
      <c r="C3" s="739"/>
      <c r="D3" s="739"/>
      <c r="E3" s="740"/>
    </row>
    <row r="4" spans="1:8" ht="25.5">
      <c r="A4" s="19"/>
      <c r="B4" s="1"/>
      <c r="C4" s="56" t="s">
        <v>130</v>
      </c>
      <c r="D4" s="520" t="s">
        <v>41</v>
      </c>
      <c r="E4" s="110" t="s">
        <v>68</v>
      </c>
    </row>
    <row r="5" spans="1:8">
      <c r="A5" s="19" t="s">
        <v>43</v>
      </c>
      <c r="B5" s="56" t="s">
        <v>40</v>
      </c>
      <c r="F5" s="38" t="s">
        <v>69</v>
      </c>
    </row>
    <row r="6" spans="1:8">
      <c r="A6" s="19"/>
      <c r="B6" s="24" t="str">
        <f>Details!B6</f>
        <v>Bank interest</v>
      </c>
      <c r="C6" s="4">
        <f>Details!M6</f>
        <v>0</v>
      </c>
      <c r="D6" s="35">
        <f>Details!U6</f>
        <v>528.69999999999993</v>
      </c>
      <c r="E6" s="384">
        <f>D6/F6</f>
        <v>0.88116666666666654</v>
      </c>
      <c r="F6" s="46">
        <f>Details!W6</f>
        <v>600</v>
      </c>
      <c r="G6" s="11">
        <v>3562684</v>
      </c>
      <c r="H6" s="2">
        <f>D6-G6</f>
        <v>-3562155.3</v>
      </c>
    </row>
    <row r="7" spans="1:8">
      <c r="A7" s="19"/>
      <c r="B7" s="24" t="str">
        <f>Details!B7</f>
        <v>Benevolence</v>
      </c>
      <c r="C7" s="4">
        <f>Details!M7</f>
        <v>0</v>
      </c>
      <c r="D7" s="35">
        <f>Details!U7</f>
        <v>121770</v>
      </c>
      <c r="E7" s="384">
        <f t="shared" ref="E7:E18" si="0">D7/F7</f>
        <v>0.81179999999999997</v>
      </c>
      <c r="F7" s="46">
        <f>Details!W7</f>
        <v>150000</v>
      </c>
      <c r="G7" s="11">
        <v>527310</v>
      </c>
    </row>
    <row r="8" spans="1:8">
      <c r="A8" s="19"/>
      <c r="B8" s="24" t="str">
        <f>Details!B8</f>
        <v>Building (cash and kind)</v>
      </c>
      <c r="C8" s="4">
        <f>Details!M8</f>
        <v>0</v>
      </c>
      <c r="D8" s="35">
        <f>Details!U8</f>
        <v>943800</v>
      </c>
      <c r="E8" s="384">
        <f t="shared" si="0"/>
        <v>0.47189999999999999</v>
      </c>
      <c r="F8" s="46">
        <f>Details!W8</f>
        <v>2000000</v>
      </c>
      <c r="G8" s="11">
        <v>147070</v>
      </c>
    </row>
    <row r="9" spans="1:8">
      <c r="A9" s="19"/>
      <c r="B9" s="24" t="str">
        <f>Details!B9</f>
        <v>Designated offering towards borehole</v>
      </c>
      <c r="C9" s="4">
        <f>Details!M9</f>
        <v>0</v>
      </c>
      <c r="D9" s="35">
        <f>Details!U9</f>
        <v>418000</v>
      </c>
      <c r="E9" s="384"/>
      <c r="F9" s="46">
        <f>Details!W9</f>
        <v>100000</v>
      </c>
      <c r="G9" s="11">
        <v>89590</v>
      </c>
    </row>
    <row r="10" spans="1:8">
      <c r="A10" s="19"/>
      <c r="B10" s="24" t="str">
        <f>Details!B10</f>
        <v>Designated offering towards Praise Festival</v>
      </c>
      <c r="C10" s="4">
        <f>Details!M10</f>
        <v>0</v>
      </c>
      <c r="D10" s="35">
        <f>Details!U10</f>
        <v>0</v>
      </c>
      <c r="E10" s="384"/>
      <c r="F10" s="46">
        <f>Details!W10</f>
        <v>0</v>
      </c>
      <c r="G10" s="11">
        <v>2200813</v>
      </c>
    </row>
    <row r="11" spans="1:8">
      <c r="A11" s="19"/>
      <c r="B11" s="24" t="str">
        <f>Details!B11</f>
        <v>Foreign Mission offering</v>
      </c>
      <c r="C11" s="4">
        <f>Details!M11</f>
        <v>0</v>
      </c>
      <c r="D11" s="35">
        <f>Details!U11</f>
        <v>0</v>
      </c>
      <c r="E11" s="384"/>
      <c r="F11" s="46">
        <f>Details!W11</f>
        <v>0</v>
      </c>
      <c r="G11" s="11">
        <v>73265</v>
      </c>
    </row>
    <row r="12" spans="1:8" ht="17.25" customHeight="1">
      <c r="A12" s="19"/>
      <c r="B12" s="26" t="str">
        <f>Details!B12</f>
        <v>Home Mission offering</v>
      </c>
      <c r="C12" s="4">
        <f>Details!M12</f>
        <v>0</v>
      </c>
      <c r="D12" s="35">
        <f>Details!U12</f>
        <v>100000</v>
      </c>
      <c r="E12" s="384"/>
      <c r="F12" s="46">
        <f>Details!W12</f>
        <v>300000</v>
      </c>
      <c r="G12" s="11">
        <v>0</v>
      </c>
    </row>
    <row r="13" spans="1:8">
      <c r="A13" s="19"/>
      <c r="B13" s="24" t="str">
        <f>Details!B14</f>
        <v>Designated - Teenagers' Church</v>
      </c>
      <c r="C13" s="4">
        <f>Details!M14</f>
        <v>0</v>
      </c>
      <c r="D13" s="35">
        <f>Details!U14</f>
        <v>0</v>
      </c>
      <c r="E13" s="384"/>
      <c r="F13" s="46">
        <f>Details!W14</f>
        <v>50000</v>
      </c>
      <c r="G13" s="11">
        <v>645.39</v>
      </c>
    </row>
    <row r="14" spans="1:8">
      <c r="A14" s="19"/>
      <c r="B14" s="24" t="str">
        <f>Details!B15</f>
        <v>Offering</v>
      </c>
      <c r="C14" s="4">
        <f>Details!M15</f>
        <v>0</v>
      </c>
      <c r="D14" s="35">
        <f>Details!U15</f>
        <v>598815</v>
      </c>
      <c r="E14" s="384">
        <f t="shared" si="0"/>
        <v>0.59881499999999999</v>
      </c>
      <c r="F14" s="46">
        <f>Details!W15</f>
        <v>1000000</v>
      </c>
      <c r="G14" s="11">
        <v>2000</v>
      </c>
    </row>
    <row r="15" spans="1:8">
      <c r="A15" s="19"/>
      <c r="B15" s="24" t="str">
        <f>Details!B16</f>
        <v xml:space="preserve">Sunday School </v>
      </c>
      <c r="C15" s="4">
        <f>Details!M16</f>
        <v>0</v>
      </c>
      <c r="D15" s="35">
        <f>Details!U16</f>
        <v>125430</v>
      </c>
      <c r="E15" s="384">
        <f t="shared" si="0"/>
        <v>0.73782352941176466</v>
      </c>
      <c r="F15" s="46">
        <f>Details!W16</f>
        <v>170000</v>
      </c>
      <c r="G15" s="11">
        <v>3000</v>
      </c>
    </row>
    <row r="16" spans="1:8">
      <c r="A16" s="19"/>
      <c r="B16" s="24" t="str">
        <f>Details!B17</f>
        <v>Thanksgiving</v>
      </c>
      <c r="C16" s="4">
        <f>Details!M17</f>
        <v>0</v>
      </c>
      <c r="D16" s="35">
        <f>Details!U17</f>
        <v>423875</v>
      </c>
      <c r="E16" s="384">
        <f t="shared" si="0"/>
        <v>1.0596874999999999</v>
      </c>
      <c r="F16" s="46">
        <f>Details!W17</f>
        <v>400000</v>
      </c>
      <c r="G16" s="11">
        <v>0</v>
      </c>
    </row>
    <row r="17" spans="1:7">
      <c r="A17" s="19"/>
      <c r="B17" s="24" t="str">
        <f>Details!B18</f>
        <v>Tithes</v>
      </c>
      <c r="C17" s="4">
        <f>Details!M18</f>
        <v>0</v>
      </c>
      <c r="D17" s="35">
        <f>Details!U18</f>
        <v>3607971</v>
      </c>
      <c r="E17" s="384">
        <f t="shared" si="0"/>
        <v>0.55507246153846157</v>
      </c>
      <c r="F17" s="46">
        <f>Details!W18</f>
        <v>6500000</v>
      </c>
      <c r="G17" s="11">
        <v>0</v>
      </c>
    </row>
    <row r="18" spans="1:7" s="9" customFormat="1">
      <c r="A18" s="158"/>
      <c r="B18" s="25" t="str">
        <f>Details!B19</f>
        <v>Total income this reporting period</v>
      </c>
      <c r="C18" s="7">
        <f>Details!M19</f>
        <v>0</v>
      </c>
      <c r="D18" s="50">
        <f>Details!U19</f>
        <v>6340189.7000000002</v>
      </c>
      <c r="E18" s="385">
        <f t="shared" si="0"/>
        <v>0.59417368282945671</v>
      </c>
      <c r="F18" s="46">
        <f>Details!W19</f>
        <v>10670600</v>
      </c>
      <c r="G18" s="159">
        <v>6606377.3899999997</v>
      </c>
    </row>
    <row r="19" spans="1:7" ht="30">
      <c r="A19" s="19"/>
      <c r="B19" s="115" t="str">
        <f>Details!B20</f>
        <v>B/F from previous month/quarter: First Bank of Nigeria</v>
      </c>
      <c r="C19" s="47">
        <f>Details!M20</f>
        <v>0</v>
      </c>
      <c r="D19" s="47">
        <f>Details!U20</f>
        <v>286762.07</v>
      </c>
      <c r="E19" s="384"/>
      <c r="F19" s="46">
        <f>Details!W20</f>
        <v>286762.07</v>
      </c>
      <c r="G19" s="11">
        <v>416870.12</v>
      </c>
    </row>
    <row r="20" spans="1:7">
      <c r="A20" s="19"/>
      <c r="B20" s="116" t="str">
        <f>Details!B21</f>
        <v xml:space="preserve">                               Randalapha MFB</v>
      </c>
      <c r="C20" s="4">
        <f>Details!M21</f>
        <v>0</v>
      </c>
      <c r="D20" s="47">
        <f>Details!U21</f>
        <v>16787.310000000001</v>
      </c>
      <c r="E20" s="384"/>
      <c r="F20" s="46">
        <f>Details!W21</f>
        <v>16787.310000000001</v>
      </c>
      <c r="G20" s="11">
        <v>29348.6</v>
      </c>
    </row>
    <row r="21" spans="1:7">
      <c r="A21" s="19"/>
      <c r="B21" s="116" t="str">
        <f>Details!B22</f>
        <v xml:space="preserve">                               Access Bank (Building fund)</v>
      </c>
      <c r="C21" s="4">
        <f>Details!M22</f>
        <v>0</v>
      </c>
      <c r="D21" s="47">
        <f>Details!U22</f>
        <v>1513424.07</v>
      </c>
      <c r="E21" s="384"/>
      <c r="F21" s="46">
        <f>Details!W22</f>
        <v>1513424.07</v>
      </c>
      <c r="G21" s="11">
        <v>35576</v>
      </c>
    </row>
    <row r="22" spans="1:7" ht="30" customHeight="1">
      <c r="A22" s="19"/>
      <c r="B22" s="390" t="str">
        <f>Details!B23</f>
        <v xml:space="preserve">                               Imprest Account (Cash on hand)</v>
      </c>
      <c r="C22" s="47">
        <f>Details!M23</f>
        <v>0</v>
      </c>
      <c r="D22" s="47">
        <f>Details!U23</f>
        <v>3000</v>
      </c>
      <c r="E22" s="384"/>
      <c r="F22" s="46">
        <f>Details!W23</f>
        <v>3000</v>
      </c>
      <c r="G22" s="11">
        <v>3000</v>
      </c>
    </row>
    <row r="23" spans="1:7">
      <c r="A23" s="19"/>
      <c r="B23" s="24" t="str">
        <f>Details!B24</f>
        <v>Total B/F from 2020 or last month or quarter</v>
      </c>
      <c r="C23" s="4">
        <f>Details!M24</f>
        <v>0</v>
      </c>
      <c r="D23" s="4">
        <f>Details!C24</f>
        <v>1819973.4500000002</v>
      </c>
      <c r="E23" s="384"/>
      <c r="F23" s="46">
        <f>Details!W24</f>
        <v>1819973.4500000002</v>
      </c>
      <c r="G23" s="11">
        <v>484794.72</v>
      </c>
    </row>
    <row r="24" spans="1:7">
      <c r="A24" s="19"/>
      <c r="B24" s="25" t="str">
        <f>Details!B25</f>
        <v>Total Income/Available cash</v>
      </c>
      <c r="C24" s="7">
        <f>Details!M25</f>
        <v>0</v>
      </c>
      <c r="D24" s="50">
        <f>SUM(D18:D22)</f>
        <v>8160163.1500000004</v>
      </c>
      <c r="E24" s="385">
        <f t="shared" ref="E24:E87" si="1">D24/F24</f>
        <v>0.65330572552695731</v>
      </c>
      <c r="F24" s="46">
        <f>Details!W25</f>
        <v>12490573.450000001</v>
      </c>
      <c r="G24" s="11">
        <v>7091172.1099999994</v>
      </c>
    </row>
    <row r="25" spans="1:7">
      <c r="A25" s="19"/>
      <c r="B25" s="25" t="str">
        <f>Details!B26</f>
        <v>EXPENDITURE</v>
      </c>
      <c r="C25" s="4"/>
      <c r="D25" s="35"/>
      <c r="E25" s="384"/>
      <c r="F25" s="46">
        <f>Details!W26</f>
        <v>0</v>
      </c>
      <c r="G25" s="11"/>
    </row>
    <row r="26" spans="1:7">
      <c r="A26" s="19"/>
      <c r="B26" s="25" t="str">
        <f>Details!B27</f>
        <v>A. CHURCH MINISTRIES</v>
      </c>
      <c r="C26" s="7">
        <f>Details!M27</f>
        <v>0</v>
      </c>
      <c r="D26" s="57">
        <f>Details!U27</f>
        <v>1016150</v>
      </c>
      <c r="E26" s="385">
        <f t="shared" si="1"/>
        <v>0.33730000663878379</v>
      </c>
      <c r="F26" s="46">
        <f>Details!W27</f>
        <v>3012600</v>
      </c>
      <c r="G26" s="11">
        <v>724900</v>
      </c>
    </row>
    <row r="27" spans="1:7">
      <c r="A27" s="19"/>
      <c r="B27" s="389" t="str">
        <f>Details!B28</f>
        <v>Benevolence</v>
      </c>
      <c r="C27" s="7">
        <f>Details!M28</f>
        <v>0</v>
      </c>
      <c r="D27" s="35">
        <f>Details!U28</f>
        <v>193940</v>
      </c>
      <c r="E27" s="384">
        <f t="shared" si="1"/>
        <v>0.543249299719888</v>
      </c>
      <c r="F27" s="46">
        <f>Details!W28</f>
        <v>357000</v>
      </c>
      <c r="G27" s="11"/>
    </row>
    <row r="28" spans="1:7">
      <c r="A28" s="19"/>
      <c r="B28" s="389" t="str">
        <f>Details!B29</f>
        <v>Childrens' Department</v>
      </c>
      <c r="C28" s="7">
        <f>Details!M29</f>
        <v>0</v>
      </c>
      <c r="D28" s="400">
        <f>Details!U29</f>
        <v>98380</v>
      </c>
      <c r="E28" s="401">
        <f t="shared" si="1"/>
        <v>0.37265151515151518</v>
      </c>
      <c r="F28" s="46">
        <f>Details!W29</f>
        <v>264000</v>
      </c>
      <c r="G28" s="11">
        <v>724900</v>
      </c>
    </row>
    <row r="29" spans="1:7">
      <c r="A29" s="19"/>
      <c r="B29" s="24" t="str">
        <f>Details!B30</f>
        <v>Church decorations</v>
      </c>
      <c r="C29" s="391">
        <f>Details!M30</f>
        <v>0</v>
      </c>
      <c r="D29" s="35">
        <f>Details!U30</f>
        <v>0</v>
      </c>
      <c r="E29" s="384">
        <f t="shared" si="1"/>
        <v>0</v>
      </c>
      <c r="F29" s="46">
        <f>Details!W30</f>
        <v>25000</v>
      </c>
      <c r="G29" s="11">
        <v>131400</v>
      </c>
    </row>
    <row r="30" spans="1:7">
      <c r="A30" s="19"/>
      <c r="B30" s="24" t="str">
        <f>Details!B31</f>
        <v>Church Maintenance</v>
      </c>
      <c r="C30" s="391">
        <f>Details!M31</f>
        <v>0</v>
      </c>
      <c r="D30" s="35">
        <f>Details!U31</f>
        <v>0</v>
      </c>
      <c r="E30" s="384">
        <f t="shared" si="1"/>
        <v>0</v>
      </c>
      <c r="F30" s="46">
        <f>Details!W31</f>
        <v>20000</v>
      </c>
      <c r="G30" s="11">
        <v>55700</v>
      </c>
    </row>
    <row r="31" spans="1:7">
      <c r="A31" s="19"/>
      <c r="B31" s="24" t="str">
        <f>Details!B33</f>
        <v>Discipleship Department</v>
      </c>
      <c r="C31" s="391">
        <f>Details!M33</f>
        <v>0</v>
      </c>
      <c r="D31" s="35">
        <f>Details!U33</f>
        <v>0</v>
      </c>
      <c r="E31" s="384">
        <f t="shared" si="1"/>
        <v>0</v>
      </c>
      <c r="F31" s="46">
        <f>Details!W33</f>
        <v>15000</v>
      </c>
      <c r="G31" s="11">
        <v>64750</v>
      </c>
    </row>
    <row r="32" spans="1:7">
      <c r="A32" s="19"/>
      <c r="B32" s="24" t="str">
        <f>Details!B34</f>
        <v>Drama Committee</v>
      </c>
      <c r="C32" s="391">
        <f>Details!M34</f>
        <v>0</v>
      </c>
      <c r="D32" s="35">
        <f>Details!U34</f>
        <v>10000</v>
      </c>
      <c r="E32" s="384">
        <f t="shared" si="1"/>
        <v>0.2857142857142857</v>
      </c>
      <c r="F32" s="46">
        <f>Details!W34</f>
        <v>35000</v>
      </c>
      <c r="G32" s="11">
        <v>48460</v>
      </c>
    </row>
    <row r="33" spans="1:7" hidden="1">
      <c r="A33" s="19"/>
      <c r="B33" s="24" t="str">
        <f>Details!B35</f>
        <v>End of year outreach - Heaven's Link Praise Festival</v>
      </c>
      <c r="C33" s="391">
        <f>Details!M35</f>
        <v>0</v>
      </c>
      <c r="D33" s="35">
        <f>Details!U35</f>
        <v>0</v>
      </c>
      <c r="E33" s="384">
        <f t="shared" si="1"/>
        <v>0</v>
      </c>
      <c r="F33" s="344">
        <f>Details!W35</f>
        <v>130000</v>
      </c>
      <c r="G33" s="11">
        <v>2000</v>
      </c>
    </row>
    <row r="34" spans="1:7">
      <c r="A34" s="19"/>
      <c r="B34" s="24" t="str">
        <f>Details!B36</f>
        <v>Evangelism Committee</v>
      </c>
      <c r="C34" s="391">
        <f>Details!M36</f>
        <v>0</v>
      </c>
      <c r="D34" s="35">
        <f>Details!U36</f>
        <v>256400</v>
      </c>
      <c r="E34" s="384">
        <f t="shared" si="1"/>
        <v>0.51280000000000003</v>
      </c>
      <c r="F34" s="46">
        <f>Details!W36</f>
        <v>500000</v>
      </c>
      <c r="G34" s="11">
        <v>0</v>
      </c>
    </row>
    <row r="35" spans="1:7" hidden="1">
      <c r="A35" s="19"/>
      <c r="B35" s="24" t="str">
        <f>Details!B37</f>
        <v>Exemplary Youth Award</v>
      </c>
      <c r="C35" s="391">
        <f>Details!M37</f>
        <v>0</v>
      </c>
      <c r="D35" s="35">
        <f>Details!U37</f>
        <v>0</v>
      </c>
      <c r="E35" s="384">
        <f t="shared" si="1"/>
        <v>0</v>
      </c>
      <c r="F35" s="46">
        <f>Details!W37</f>
        <v>75000</v>
      </c>
      <c r="G35" s="11">
        <v>38250</v>
      </c>
    </row>
    <row r="36" spans="1:7">
      <c r="A36" s="19"/>
      <c r="B36" s="24" t="str">
        <f>Details!B38</f>
        <v>External Affairs</v>
      </c>
      <c r="C36" s="391">
        <f>Details!M38</f>
        <v>0</v>
      </c>
      <c r="D36" s="35">
        <f>Details!U38</f>
        <v>36940</v>
      </c>
      <c r="E36" s="384">
        <f t="shared" si="1"/>
        <v>0.97210526315789469</v>
      </c>
      <c r="F36" s="46">
        <f>Details!W38</f>
        <v>38000</v>
      </c>
      <c r="G36" s="11">
        <v>41400</v>
      </c>
    </row>
    <row r="37" spans="1:7">
      <c r="A37" s="19"/>
      <c r="B37" s="24" t="str">
        <f>Details!B39</f>
        <v>Health Committee</v>
      </c>
      <c r="C37" s="391">
        <f>Details!M39</f>
        <v>0</v>
      </c>
      <c r="D37" s="35">
        <f>Details!U39</f>
        <v>3200</v>
      </c>
      <c r="E37" s="384">
        <f t="shared" si="1"/>
        <v>9.2753623188405798E-2</v>
      </c>
      <c r="F37" s="46">
        <f>Details!W39</f>
        <v>34500</v>
      </c>
      <c r="G37" s="11">
        <v>62000</v>
      </c>
    </row>
    <row r="38" spans="1:7">
      <c r="A38" s="19"/>
      <c r="B38" s="24" t="str">
        <f>Details!B40</f>
        <v>Hospitality Committee</v>
      </c>
      <c r="C38" s="391">
        <f>Details!M40</f>
        <v>0</v>
      </c>
      <c r="D38" s="35">
        <f>Details!U40</f>
        <v>21990</v>
      </c>
      <c r="E38" s="384">
        <f t="shared" si="1"/>
        <v>8.3675799086757985E-2</v>
      </c>
      <c r="F38" s="46">
        <f>Details!W40</f>
        <v>262800</v>
      </c>
      <c r="G38" s="11">
        <v>0</v>
      </c>
    </row>
    <row r="39" spans="1:7">
      <c r="A39" s="19"/>
      <c r="B39" s="24" t="str">
        <f>Details!B41</f>
        <v>Media/Sound Unit</v>
      </c>
      <c r="C39" s="391">
        <f>Details!M41</f>
        <v>0</v>
      </c>
      <c r="D39" s="35">
        <f>Details!U41</f>
        <v>46400</v>
      </c>
      <c r="E39" s="384">
        <f t="shared" si="1"/>
        <v>0.30933333333333335</v>
      </c>
      <c r="F39" s="46">
        <f>Details!W41</f>
        <v>150000</v>
      </c>
      <c r="G39" s="11">
        <v>3400</v>
      </c>
    </row>
    <row r="40" spans="1:7">
      <c r="A40" s="19"/>
      <c r="B40" s="24" t="str">
        <f>Details!B42</f>
        <v>MMU</v>
      </c>
      <c r="C40" s="391">
        <f>Details!M42</f>
        <v>0</v>
      </c>
      <c r="D40" s="35">
        <f>Details!U42</f>
        <v>600</v>
      </c>
      <c r="E40" s="384">
        <f t="shared" si="1"/>
        <v>1.2E-2</v>
      </c>
      <c r="F40" s="46">
        <f>Details!W42</f>
        <v>50000</v>
      </c>
      <c r="G40" s="11">
        <v>138140</v>
      </c>
    </row>
    <row r="41" spans="1:7">
      <c r="A41" s="19"/>
      <c r="B41" s="24" t="str">
        <f>Details!B43</f>
        <v>Music Department</v>
      </c>
      <c r="C41" s="391">
        <f>Details!M43</f>
        <v>0</v>
      </c>
      <c r="D41" s="35">
        <f>Details!U43</f>
        <v>49000</v>
      </c>
      <c r="E41" s="384">
        <f t="shared" si="1"/>
        <v>0.17437722419928825</v>
      </c>
      <c r="F41" s="46">
        <f>Details!W43</f>
        <v>281000</v>
      </c>
      <c r="G41" s="11">
        <v>0</v>
      </c>
    </row>
    <row r="42" spans="1:7">
      <c r="A42" s="19"/>
      <c r="B42" s="24" t="str">
        <f>Details!B44</f>
        <v>Nominating</v>
      </c>
      <c r="C42" s="391">
        <f>Details!M44</f>
        <v>0</v>
      </c>
      <c r="D42" s="35">
        <f>Details!U44</f>
        <v>0</v>
      </c>
      <c r="E42" s="384"/>
      <c r="F42" s="46">
        <f>Details!W44</f>
        <v>0</v>
      </c>
      <c r="G42" s="11">
        <v>25000</v>
      </c>
    </row>
    <row r="43" spans="1:7">
      <c r="A43" s="19"/>
      <c r="B43" s="24" t="str">
        <f>Details!B45</f>
        <v>Property Committee</v>
      </c>
      <c r="C43" s="391">
        <f>Details!M45</f>
        <v>0</v>
      </c>
      <c r="D43" s="35">
        <f>Details!U45</f>
        <v>6000</v>
      </c>
      <c r="E43" s="384">
        <f t="shared" si="1"/>
        <v>0.03</v>
      </c>
      <c r="F43" s="46">
        <f>Details!W45</f>
        <v>200000</v>
      </c>
      <c r="G43" s="11">
        <v>0</v>
      </c>
    </row>
    <row r="44" spans="1:7">
      <c r="A44" s="19"/>
      <c r="B44" s="24" t="str">
        <f>Details!B46</f>
        <v>Personnel</v>
      </c>
      <c r="C44" s="391">
        <f>Details!M46</f>
        <v>0</v>
      </c>
      <c r="D44" s="35">
        <f>Details!U46</f>
        <v>0</v>
      </c>
      <c r="E44" s="384"/>
      <c r="F44" s="46">
        <f>Details!W46</f>
        <v>0</v>
      </c>
      <c r="G44" s="11">
        <v>0</v>
      </c>
    </row>
    <row r="45" spans="1:7">
      <c r="A45" s="19"/>
      <c r="B45" s="24" t="str">
        <f>Details!B47</f>
        <v>Sanctuary supplies</v>
      </c>
      <c r="C45" s="391">
        <f>Details!M47</f>
        <v>0</v>
      </c>
      <c r="D45" s="35">
        <f>Details!U47</f>
        <v>75500</v>
      </c>
      <c r="E45" s="384">
        <f t="shared" si="1"/>
        <v>0.25166666666666665</v>
      </c>
      <c r="F45" s="46">
        <f>Details!W47</f>
        <v>300000</v>
      </c>
      <c r="G45" s="11">
        <v>0</v>
      </c>
    </row>
    <row r="46" spans="1:7">
      <c r="A46" s="19"/>
      <c r="B46" s="24" t="str">
        <f>Details!B48</f>
        <v>Stewardship</v>
      </c>
      <c r="C46" s="391">
        <f>Details!M48</f>
        <v>0</v>
      </c>
      <c r="D46" s="35">
        <f>Details!U48</f>
        <v>0</v>
      </c>
      <c r="E46" s="384">
        <f t="shared" si="1"/>
        <v>0</v>
      </c>
      <c r="F46" s="46">
        <f>Details!W48</f>
        <v>10000</v>
      </c>
      <c r="G46" s="11">
        <v>10000</v>
      </c>
    </row>
    <row r="47" spans="1:7">
      <c r="A47" s="19"/>
      <c r="B47" s="24" t="str">
        <f>Details!B49</f>
        <v xml:space="preserve">Sunday School </v>
      </c>
      <c r="C47" s="391">
        <f>Details!M49</f>
        <v>0</v>
      </c>
      <c r="D47" s="35">
        <f>Details!U49</f>
        <v>31400</v>
      </c>
      <c r="E47" s="384">
        <f t="shared" si="1"/>
        <v>0.8306878306878307</v>
      </c>
      <c r="F47" s="46">
        <f>Details!W49</f>
        <v>37800</v>
      </c>
      <c r="G47" s="11">
        <v>5000</v>
      </c>
    </row>
    <row r="48" spans="1:7">
      <c r="A48" s="19"/>
      <c r="B48" s="24" t="str">
        <f>Details!B50</f>
        <v>Ushers Committee</v>
      </c>
      <c r="C48" s="391">
        <f>Details!M50</f>
        <v>0</v>
      </c>
      <c r="D48" s="35">
        <f>Details!U50</f>
        <v>2500</v>
      </c>
      <c r="E48" s="384">
        <f t="shared" si="1"/>
        <v>0.3125</v>
      </c>
      <c r="F48" s="46">
        <f>Details!W50</f>
        <v>8000</v>
      </c>
      <c r="G48" s="11">
        <v>0</v>
      </c>
    </row>
    <row r="49" spans="1:7">
      <c r="A49" s="19"/>
      <c r="B49" s="24" t="str">
        <f>Details!B51</f>
        <v>Visitation Committee</v>
      </c>
      <c r="C49" s="391">
        <f>Details!M51</f>
        <v>0</v>
      </c>
      <c r="D49" s="35">
        <f>Details!U51</f>
        <v>7500</v>
      </c>
      <c r="E49" s="384">
        <f t="shared" si="1"/>
        <v>0.46875</v>
      </c>
      <c r="F49" s="46">
        <f>Details!W51</f>
        <v>16000</v>
      </c>
      <c r="G49" s="11">
        <v>99400</v>
      </c>
    </row>
    <row r="50" spans="1:7" s="399" customFormat="1">
      <c r="A50" s="392"/>
      <c r="B50" s="389" t="str">
        <f>Details!B52</f>
        <v>WMU</v>
      </c>
      <c r="C50" s="391">
        <f>Details!M52</f>
        <v>0</v>
      </c>
      <c r="D50" s="400">
        <f>Details!U52</f>
        <v>48000</v>
      </c>
      <c r="E50" s="401">
        <f t="shared" si="1"/>
        <v>0.59627329192546585</v>
      </c>
      <c r="F50" s="397">
        <f>Details!W52</f>
        <v>80500</v>
      </c>
      <c r="G50" s="398">
        <v>1002134.8</v>
      </c>
    </row>
    <row r="51" spans="1:7">
      <c r="A51" s="19"/>
      <c r="B51" s="24" t="str">
        <f>Details!B53</f>
        <v>Youth Fellowship</v>
      </c>
      <c r="C51" s="391">
        <f>Details!M53</f>
        <v>0</v>
      </c>
      <c r="D51" s="35">
        <f>Details!U53</f>
        <v>94000</v>
      </c>
      <c r="E51" s="384">
        <f t="shared" si="1"/>
        <v>1.1325301204819278</v>
      </c>
      <c r="F51" s="46">
        <f>Details!W53</f>
        <v>83000</v>
      </c>
      <c r="G51" s="11">
        <v>645534.80000000005</v>
      </c>
    </row>
    <row r="52" spans="1:7">
      <c r="A52" s="19"/>
      <c r="B52" s="24" t="str">
        <f>Details!B54</f>
        <v>Teenagers</v>
      </c>
      <c r="C52" s="391">
        <f>Details!M54</f>
        <v>0</v>
      </c>
      <c r="D52" s="35">
        <f>Details!U54</f>
        <v>34400</v>
      </c>
      <c r="E52" s="384">
        <f>D52/F52</f>
        <v>1.72</v>
      </c>
      <c r="F52" s="46">
        <f>Details!W54</f>
        <v>20000</v>
      </c>
      <c r="G52" s="11">
        <v>220000</v>
      </c>
    </row>
    <row r="53" spans="1:7" hidden="1">
      <c r="A53" s="19"/>
      <c r="B53" s="24" t="str">
        <f>Details!B55</f>
        <v>Suspense account</v>
      </c>
      <c r="C53" s="391">
        <f>Details!M55</f>
        <v>0</v>
      </c>
      <c r="D53" s="35">
        <f>Details!U55</f>
        <v>0</v>
      </c>
      <c r="E53" s="384" t="e">
        <f t="shared" si="1"/>
        <v>#DIV/0!</v>
      </c>
      <c r="F53" s="46">
        <f>Details!W55</f>
        <v>0</v>
      </c>
      <c r="G53" s="11">
        <v>136600</v>
      </c>
    </row>
    <row r="54" spans="1:7" hidden="1">
      <c r="A54" s="19"/>
      <c r="B54" s="24">
        <f>Details!B56</f>
        <v>0</v>
      </c>
      <c r="C54" s="4"/>
      <c r="D54" s="35">
        <f>Details!U56</f>
        <v>0</v>
      </c>
      <c r="E54" s="384" t="e">
        <f t="shared" si="1"/>
        <v>#DIV/0!</v>
      </c>
      <c r="F54" s="46">
        <f>Details!W56</f>
        <v>0</v>
      </c>
      <c r="G54" s="11"/>
    </row>
    <row r="55" spans="1:7">
      <c r="A55" s="19"/>
      <c r="B55" s="25" t="str">
        <f>Details!B57</f>
        <v>B. CHURCH STAFF</v>
      </c>
      <c r="C55" s="7">
        <f>Details!M57</f>
        <v>0</v>
      </c>
      <c r="D55" s="50">
        <f>Details!U57</f>
        <v>1295169.53</v>
      </c>
      <c r="E55" s="385">
        <f t="shared" si="1"/>
        <v>0.44663907568641337</v>
      </c>
      <c r="F55" s="46">
        <f>Details!W57</f>
        <v>2899812.4</v>
      </c>
      <c r="G55" s="11">
        <v>881297.02</v>
      </c>
    </row>
    <row r="56" spans="1:7">
      <c r="A56" s="19"/>
      <c r="B56" s="24" t="str">
        <f>Details!B58</f>
        <v>Church Pastor (salaries and allowances)</v>
      </c>
      <c r="C56" s="4">
        <f>Details!M58</f>
        <v>0</v>
      </c>
      <c r="D56" s="35">
        <f>Details!U58</f>
        <v>674440.77</v>
      </c>
      <c r="E56" s="384">
        <f t="shared" si="1"/>
        <v>0.41245127227746647</v>
      </c>
      <c r="F56" s="46">
        <f>Details!W58</f>
        <v>1635201.09</v>
      </c>
      <c r="G56" s="11">
        <v>128850</v>
      </c>
    </row>
    <row r="57" spans="1:7" ht="15" customHeight="1">
      <c r="A57" s="19"/>
      <c r="B57" s="26" t="str">
        <f>Details!B59</f>
        <v>Other Pastors</v>
      </c>
      <c r="C57" s="4">
        <f>Details!M59</f>
        <v>0</v>
      </c>
      <c r="D57" s="35">
        <f>Details!U59</f>
        <v>418634</v>
      </c>
      <c r="E57" s="384">
        <f t="shared" si="1"/>
        <v>0.52991645569620249</v>
      </c>
      <c r="F57" s="46">
        <f>Details!W59</f>
        <v>790000</v>
      </c>
      <c r="G57" s="11">
        <v>12847.02</v>
      </c>
    </row>
    <row r="58" spans="1:7">
      <c r="A58" s="19"/>
      <c r="B58" s="24" t="str">
        <f>Details!B60</f>
        <v>Janitor</v>
      </c>
      <c r="C58" s="4">
        <f>Details!M60</f>
        <v>0</v>
      </c>
      <c r="D58" s="35">
        <f>Details!U60</f>
        <v>202094.76</v>
      </c>
      <c r="E58" s="384">
        <f t="shared" si="1"/>
        <v>0.42581109160672975</v>
      </c>
      <c r="F58" s="46">
        <f>Details!W60</f>
        <v>474611.31</v>
      </c>
      <c r="G58" s="11">
        <v>26800</v>
      </c>
    </row>
    <row r="59" spans="1:7">
      <c r="A59" s="19"/>
      <c r="B59" s="24" t="str">
        <f>Details!B61</f>
        <v>Appreciation service for Pastor</v>
      </c>
      <c r="C59" s="4">
        <f>Details!M61</f>
        <v>0</v>
      </c>
      <c r="D59" s="35">
        <f>Details!U61</f>
        <v>0</v>
      </c>
      <c r="E59" s="384" t="e">
        <f>D59/F59</f>
        <v>#DIV/0!</v>
      </c>
      <c r="F59" s="46">
        <f>Details!W61</f>
        <v>0</v>
      </c>
      <c r="G59" s="11">
        <v>26800</v>
      </c>
    </row>
    <row r="60" spans="1:7" s="9" customFormat="1">
      <c r="A60" s="158"/>
      <c r="B60" s="27" t="str">
        <f>Details!B62</f>
        <v>C. OPERATION COSTS</v>
      </c>
      <c r="C60" s="57">
        <f>Details!M62</f>
        <v>0</v>
      </c>
      <c r="D60" s="63">
        <f>Details!U62</f>
        <v>829740.71924999997</v>
      </c>
      <c r="E60" s="387">
        <f t="shared" si="1"/>
        <v>0.77647456414935423</v>
      </c>
      <c r="F60" s="261">
        <f>Details!W62</f>
        <v>1068600</v>
      </c>
      <c r="G60" s="159">
        <v>16530</v>
      </c>
    </row>
    <row r="61" spans="1:7">
      <c r="A61" s="19"/>
      <c r="B61" s="24" t="str">
        <f>Details!B64</f>
        <v xml:space="preserve">Bank charges: sms, maintenance, VAT etc. </v>
      </c>
      <c r="C61" s="4">
        <f>Details!M64</f>
        <v>0</v>
      </c>
      <c r="D61" s="35">
        <f>Details!U64</f>
        <v>15220.720000000001</v>
      </c>
      <c r="E61" s="384">
        <f t="shared" si="1"/>
        <v>0.69185090909090918</v>
      </c>
      <c r="F61" s="345">
        <f>Details!W64</f>
        <v>22000</v>
      </c>
      <c r="G61" s="11">
        <v>0</v>
      </c>
    </row>
    <row r="62" spans="1:7">
      <c r="A62" s="19"/>
      <c r="B62" s="24" t="str">
        <f>Details!B65</f>
        <v>Church Council refreshments</v>
      </c>
      <c r="C62" s="4">
        <f>Details!M65</f>
        <v>0</v>
      </c>
      <c r="D62" s="35">
        <f>Details!U65</f>
        <v>8000</v>
      </c>
      <c r="E62" s="384">
        <f t="shared" si="1"/>
        <v>0.33333333333333331</v>
      </c>
      <c r="F62" s="46">
        <f>Details!W65</f>
        <v>24000</v>
      </c>
      <c r="G62" s="11">
        <v>45100</v>
      </c>
    </row>
    <row r="63" spans="1:7">
      <c r="A63" s="19"/>
      <c r="B63" s="24" t="str">
        <f>Details!B66</f>
        <v>Church secreteriat</v>
      </c>
      <c r="C63" s="4">
        <f>Details!M66</f>
        <v>0</v>
      </c>
      <c r="D63" s="35">
        <f>Details!U66</f>
        <v>55470</v>
      </c>
      <c r="E63" s="384">
        <f t="shared" si="1"/>
        <v>0.92449999999999999</v>
      </c>
      <c r="F63" s="46">
        <f>Details!W66</f>
        <v>60000</v>
      </c>
      <c r="G63" s="11">
        <v>11000</v>
      </c>
    </row>
    <row r="64" spans="1:7">
      <c r="A64" s="19"/>
      <c r="B64" s="24" t="str">
        <f>Details!B67</f>
        <v>Convention session</v>
      </c>
      <c r="C64" s="4">
        <f>Details!M67</f>
        <v>0</v>
      </c>
      <c r="D64" s="35">
        <f>Details!U67</f>
        <v>122500</v>
      </c>
      <c r="E64" s="384">
        <f t="shared" si="1"/>
        <v>6.125</v>
      </c>
      <c r="F64" s="46">
        <f>Details!W67</f>
        <v>20000</v>
      </c>
      <c r="G64" s="11">
        <v>0</v>
      </c>
    </row>
    <row r="65" spans="1:7">
      <c r="A65" s="19"/>
      <c r="B65" s="24" t="str">
        <f>Details!B68</f>
        <v>Electricity - church auditorium</v>
      </c>
      <c r="C65" s="4">
        <f>Details!M68</f>
        <v>0</v>
      </c>
      <c r="D65" s="35">
        <f>Details!U68</f>
        <v>20000</v>
      </c>
      <c r="E65" s="384">
        <f t="shared" si="1"/>
        <v>0.625</v>
      </c>
      <c r="F65" s="46">
        <f>Details!W68</f>
        <v>32000</v>
      </c>
      <c r="G65" s="11">
        <v>207800</v>
      </c>
    </row>
    <row r="66" spans="1:7">
      <c r="A66" s="19"/>
      <c r="B66" s="24" t="str">
        <f>Details!B69</f>
        <v>Electricity - Pastorium</v>
      </c>
      <c r="C66" s="4">
        <f>Details!M69</f>
        <v>0</v>
      </c>
      <c r="D66" s="35">
        <f>Details!U69</f>
        <v>10000</v>
      </c>
      <c r="E66" s="384">
        <f t="shared" si="1"/>
        <v>0.20833333333333334</v>
      </c>
      <c r="F66" s="46">
        <f>Details!W69</f>
        <v>48000</v>
      </c>
      <c r="G66" s="11">
        <v>20000</v>
      </c>
    </row>
    <row r="67" spans="1:7">
      <c r="A67" s="19"/>
      <c r="B67" s="24" t="str">
        <f>Details!B70</f>
        <v>Generators - fuel and maintenance church auditorium</v>
      </c>
      <c r="C67" s="4">
        <f>Details!M70</f>
        <v>0</v>
      </c>
      <c r="D67" s="35">
        <f>Details!U70</f>
        <v>136849.99924999999</v>
      </c>
      <c r="E67" s="384">
        <f t="shared" si="1"/>
        <v>0.51479269803888994</v>
      </c>
      <c r="F67" s="345">
        <f>Details!W70</f>
        <v>265835.15999999997</v>
      </c>
      <c r="G67" s="11">
        <v>10000</v>
      </c>
    </row>
    <row r="68" spans="1:7">
      <c r="A68" s="19"/>
      <c r="B68" s="26" t="str">
        <f>Details!B71</f>
        <v>Generators - fuel and maintenance pastorium</v>
      </c>
      <c r="C68" s="47">
        <f>Details!M71</f>
        <v>0</v>
      </c>
      <c r="D68" s="48">
        <f>Details!U71</f>
        <v>99900</v>
      </c>
      <c r="E68" s="386">
        <f t="shared" si="1"/>
        <v>0.90191075074003635</v>
      </c>
      <c r="F68" s="46">
        <f>Details!W71</f>
        <v>110764.84</v>
      </c>
      <c r="G68" s="11">
        <v>95700</v>
      </c>
    </row>
    <row r="69" spans="1:7" hidden="1">
      <c r="A69" s="19"/>
      <c r="B69" s="26" t="str">
        <f>Details!B72</f>
        <v>Keep fit instructor</v>
      </c>
      <c r="C69" s="4">
        <f>Details!M72</f>
        <v>0</v>
      </c>
      <c r="D69" s="35">
        <f>Details!U72</f>
        <v>0</v>
      </c>
      <c r="E69" s="384" t="e">
        <f t="shared" si="1"/>
        <v>#DIV/0!</v>
      </c>
      <c r="F69" s="46">
        <f>Details!W72</f>
        <v>0</v>
      </c>
      <c r="G69" s="11">
        <v>68250</v>
      </c>
    </row>
    <row r="70" spans="1:7" ht="19.5" customHeight="1">
      <c r="A70" s="19"/>
      <c r="B70" s="24" t="str">
        <f>Details!B73</f>
        <v xml:space="preserve">Ministers' Conference </v>
      </c>
      <c r="C70" s="4">
        <f>Details!M73</f>
        <v>0</v>
      </c>
      <c r="D70" s="35">
        <f>Details!U73</f>
        <v>0</v>
      </c>
      <c r="E70" s="384">
        <f t="shared" si="1"/>
        <v>0</v>
      </c>
      <c r="F70" s="46">
        <f>Details!W73</f>
        <v>6000</v>
      </c>
      <c r="G70" s="11">
        <v>16000</v>
      </c>
    </row>
    <row r="71" spans="1:7" ht="47.25" customHeight="1">
      <c r="A71" s="19"/>
      <c r="B71" s="157" t="str">
        <f>Details!B74</f>
        <v>Miscellanous (transport for CAN Minister, honorarium for supervisor)</v>
      </c>
      <c r="C71" s="47">
        <f>Details!M74</f>
        <v>0</v>
      </c>
      <c r="D71" s="48">
        <f>Details!U74</f>
        <v>18000</v>
      </c>
      <c r="E71" s="386">
        <f t="shared" si="1"/>
        <v>0.36</v>
      </c>
      <c r="F71" s="46">
        <f>Details!W74</f>
        <v>50000</v>
      </c>
      <c r="G71" s="11">
        <v>200550</v>
      </c>
    </row>
    <row r="72" spans="1:7">
      <c r="A72" s="19"/>
      <c r="B72" s="24" t="str">
        <f>Details!B75</f>
        <v>Motorcycle</v>
      </c>
      <c r="C72" s="4">
        <f>Details!M75</f>
        <v>0</v>
      </c>
      <c r="D72" s="35">
        <f>Details!U75</f>
        <v>3800</v>
      </c>
      <c r="E72" s="384" t="e">
        <f t="shared" si="1"/>
        <v>#DIV/0!</v>
      </c>
      <c r="F72" s="46">
        <f>Details!W75</f>
        <v>0</v>
      </c>
      <c r="G72" s="11"/>
    </row>
    <row r="73" spans="1:7" s="399" customFormat="1" ht="18" customHeight="1">
      <c r="A73" s="392"/>
      <c r="B73" s="393" t="str">
        <f>Details!B76</f>
        <v>Ogbomoso Conference</v>
      </c>
      <c r="C73" s="394">
        <f>Details!M76</f>
        <v>0</v>
      </c>
      <c r="D73" s="395">
        <f>Details!U76</f>
        <v>0</v>
      </c>
      <c r="E73" s="396">
        <f t="shared" si="1"/>
        <v>0</v>
      </c>
      <c r="F73" s="46">
        <f>Details!W76</f>
        <v>25000</v>
      </c>
      <c r="G73" s="398">
        <v>1566448</v>
      </c>
    </row>
    <row r="74" spans="1:7" ht="21" customHeight="1">
      <c r="A74" s="19"/>
      <c r="B74" s="24" t="str">
        <f>Details!B77</f>
        <v xml:space="preserve">Pastorium rent &amp; maintenance </v>
      </c>
      <c r="C74" s="4">
        <f>Details!M77</f>
        <v>0</v>
      </c>
      <c r="D74" s="35">
        <f>Details!U77</f>
        <v>0</v>
      </c>
      <c r="E74" s="384">
        <f t="shared" si="1"/>
        <v>0</v>
      </c>
      <c r="F74" s="46">
        <f>Details!W77</f>
        <v>150000</v>
      </c>
      <c r="G74" s="11">
        <v>1207480</v>
      </c>
    </row>
    <row r="75" spans="1:7">
      <c r="A75" s="19"/>
      <c r="B75" s="24" t="str">
        <f>Details!B78</f>
        <v>Pastors Wives' retreat</v>
      </c>
      <c r="C75" s="4">
        <f>Details!M78</f>
        <v>0</v>
      </c>
      <c r="D75" s="35">
        <f>Details!U78</f>
        <v>0</v>
      </c>
      <c r="E75" s="384">
        <f t="shared" si="1"/>
        <v>0</v>
      </c>
      <c r="F75" s="46">
        <f>Details!W78</f>
        <v>5000</v>
      </c>
      <c r="G75" s="11">
        <v>1468</v>
      </c>
    </row>
    <row r="76" spans="1:7" ht="28.5" customHeight="1">
      <c r="A76" s="19"/>
      <c r="B76" s="26" t="str">
        <f>Details!B79</f>
        <v>Workers' retreat organized by the church</v>
      </c>
      <c r="C76" s="4">
        <f>Details!M79</f>
        <v>0</v>
      </c>
      <c r="D76" s="35">
        <f>Details!U79</f>
        <v>40000</v>
      </c>
      <c r="E76" s="384"/>
      <c r="F76" s="46">
        <f>Details!W79</f>
        <v>50000</v>
      </c>
      <c r="G76" s="11">
        <v>0</v>
      </c>
    </row>
    <row r="77" spans="1:7">
      <c r="A77" s="19"/>
      <c r="B77" s="24"/>
      <c r="C77" s="4"/>
      <c r="D77" s="35"/>
      <c r="E77" s="384"/>
      <c r="F77" s="46"/>
      <c r="G77" s="11">
        <v>7500</v>
      </c>
    </row>
    <row r="78" spans="1:7">
      <c r="A78" s="19"/>
      <c r="B78" s="26" t="str">
        <f>Details!B81</f>
        <v>D. NEW AUDITORIUM &amp; OTHER PROJECTS</v>
      </c>
      <c r="C78" s="47">
        <f>Details!M81</f>
        <v>0</v>
      </c>
      <c r="D78" s="48">
        <f>Details!U81</f>
        <v>3855996.88</v>
      </c>
      <c r="E78" s="384">
        <f t="shared" si="1"/>
        <v>0.92870830443159924</v>
      </c>
      <c r="F78" s="345">
        <f>Details!W81</f>
        <v>4152000</v>
      </c>
      <c r="G78" s="11">
        <v>50000</v>
      </c>
    </row>
    <row r="79" spans="1:7">
      <c r="A79" s="19"/>
      <c r="B79" s="24" t="str">
        <f>Details!B82</f>
        <v>Bank charges - Access bank</v>
      </c>
      <c r="C79" s="4">
        <f>Details!M82</f>
        <v>0</v>
      </c>
      <c r="D79" s="35">
        <f>Details!U82</f>
        <v>4666.88</v>
      </c>
      <c r="E79" s="384">
        <f t="shared" si="1"/>
        <v>2.33344</v>
      </c>
      <c r="F79" s="46">
        <f>Details!W82</f>
        <v>2000</v>
      </c>
      <c r="G79" s="11">
        <v>300000</v>
      </c>
    </row>
    <row r="80" spans="1:7" hidden="1">
      <c r="A80" s="19"/>
      <c r="B80" s="24" t="str">
        <f>Details!B83</f>
        <v>Borehole</v>
      </c>
      <c r="C80" s="4">
        <f>Details!M83</f>
        <v>0</v>
      </c>
      <c r="D80" s="35">
        <f>Details!U83</f>
        <v>561230</v>
      </c>
      <c r="E80" s="384">
        <f t="shared" si="1"/>
        <v>0.86343076923076922</v>
      </c>
      <c r="F80" s="46">
        <f>Details!W83</f>
        <v>650000</v>
      </c>
      <c r="G80" s="11"/>
    </row>
    <row r="81" spans="1:7" s="399" customFormat="1" hidden="1">
      <c r="A81" s="392"/>
      <c r="B81" s="389" t="str">
        <f>Details!B84</f>
        <v>Development loan refund</v>
      </c>
      <c r="C81" s="391">
        <f>Details!M84</f>
        <v>0</v>
      </c>
      <c r="D81" s="400">
        <f>Details!U84</f>
        <v>0</v>
      </c>
      <c r="E81" s="401" t="e">
        <f t="shared" si="1"/>
        <v>#DIV/0!</v>
      </c>
      <c r="F81" s="46">
        <f>Details!W84</f>
        <v>0</v>
      </c>
      <c r="G81" s="398">
        <v>1251481.5</v>
      </c>
    </row>
    <row r="82" spans="1:7">
      <c r="A82" s="19"/>
      <c r="B82" s="26" t="str">
        <f>Details!B85</f>
        <v>Gift-in-kind towards church auditorium</v>
      </c>
      <c r="C82" s="47">
        <f>Details!M85</f>
        <v>0</v>
      </c>
      <c r="D82" s="48">
        <f>Details!U85</f>
        <v>20800</v>
      </c>
      <c r="E82" s="386"/>
      <c r="F82" s="46">
        <f>Details!W85</f>
        <v>0</v>
      </c>
      <c r="G82" s="11">
        <v>834321</v>
      </c>
    </row>
    <row r="83" spans="1:7" ht="30">
      <c r="A83" s="19"/>
      <c r="B83" s="26" t="str">
        <f>Details!B86</f>
        <v>New  auditorium - block work, columns and roof beam</v>
      </c>
      <c r="C83" s="47">
        <f>Details!M86</f>
        <v>0</v>
      </c>
      <c r="D83" s="48">
        <f>Details!U86</f>
        <v>3269300</v>
      </c>
      <c r="E83" s="386">
        <f t="shared" si="1"/>
        <v>0.9340857142857143</v>
      </c>
      <c r="F83" s="46">
        <f>Details!W86</f>
        <v>3500000</v>
      </c>
      <c r="G83" s="11">
        <v>292012.35000000003</v>
      </c>
    </row>
    <row r="84" spans="1:7" hidden="1">
      <c r="A84" s="19"/>
      <c r="B84" s="26" t="str">
        <f>Details!B87</f>
        <v>Erection of new sign posts</v>
      </c>
      <c r="C84" s="47">
        <f>Details!M87</f>
        <v>0</v>
      </c>
      <c r="D84" s="48">
        <f>Details!U87</f>
        <v>0</v>
      </c>
      <c r="E84" s="386"/>
      <c r="F84" s="46">
        <f>Details!W87</f>
        <v>0</v>
      </c>
      <c r="G84" s="11">
        <v>125148.15</v>
      </c>
    </row>
    <row r="85" spans="1:7">
      <c r="A85" s="19"/>
      <c r="B85" s="24"/>
      <c r="C85" s="4"/>
      <c r="D85" s="35"/>
      <c r="E85" s="384"/>
      <c r="F85" s="46"/>
      <c r="G85" s="11"/>
    </row>
    <row r="86" spans="1:7">
      <c r="A86" s="19"/>
      <c r="B86" s="25" t="str">
        <f>Details!B89</f>
        <v>E. COOPERATIVE FUNDS</v>
      </c>
      <c r="C86" s="7">
        <f>Details!M89</f>
        <v>0</v>
      </c>
      <c r="D86" s="50">
        <f>Details!U89</f>
        <v>918475.7</v>
      </c>
      <c r="E86" s="385">
        <f t="shared" si="1"/>
        <v>0.37937864518793885</v>
      </c>
      <c r="F86" s="46">
        <f>Details!W89</f>
        <v>2421000</v>
      </c>
      <c r="G86" s="11">
        <v>260000</v>
      </c>
    </row>
    <row r="87" spans="1:7" ht="30">
      <c r="A87" s="19"/>
      <c r="B87" s="26" t="str">
        <f>Details!B90</f>
        <v>Association contributions - 3% of tithes &amp; SS, thanksgiving and general offerings</v>
      </c>
      <c r="C87" s="4">
        <f>Details!M90</f>
        <v>0</v>
      </c>
      <c r="D87" s="35">
        <f>Details!U90</f>
        <v>91847.51999999999</v>
      </c>
      <c r="E87" s="384">
        <f t="shared" si="1"/>
        <v>0.37937843866171</v>
      </c>
      <c r="F87" s="46">
        <f>Details!W90</f>
        <v>242100</v>
      </c>
      <c r="G87" s="11">
        <v>0</v>
      </c>
    </row>
    <row r="88" spans="1:7" ht="30">
      <c r="A88" s="19"/>
      <c r="B88" s="26" t="str">
        <f>Details!B91</f>
        <v>Conference contributions - 7% of tithes &amp;  SS, thanksgiving and general offerings</v>
      </c>
      <c r="C88" s="4">
        <f>Details!M91</f>
        <v>0</v>
      </c>
      <c r="D88" s="35">
        <f>Details!U91</f>
        <v>214310.88</v>
      </c>
      <c r="E88" s="384">
        <f>D88/F88</f>
        <v>0.37937843866171006</v>
      </c>
      <c r="F88" s="46">
        <f>Details!W91</f>
        <v>564900</v>
      </c>
      <c r="G88" s="11">
        <v>260000</v>
      </c>
    </row>
    <row r="89" spans="1:7" ht="30">
      <c r="A89" s="19"/>
      <c r="B89" s="26" t="str">
        <f>Details!B92</f>
        <v>Convention contributions - 20% of tithes &amp; SS, thanksgiving and general  offerings</v>
      </c>
      <c r="C89" s="4">
        <f>Details!M92</f>
        <v>0</v>
      </c>
      <c r="D89" s="35">
        <f>Details!U92</f>
        <v>612317.30000000005</v>
      </c>
      <c r="E89" s="384">
        <f>D89/F89</f>
        <v>0.37937874845105329</v>
      </c>
      <c r="F89" s="46">
        <f>Details!W92</f>
        <v>1614000</v>
      </c>
      <c r="G89" s="11"/>
    </row>
    <row r="90" spans="1:7">
      <c r="A90" s="19"/>
      <c r="B90" s="27"/>
      <c r="C90" s="7"/>
      <c r="D90" s="50"/>
      <c r="E90" s="385"/>
      <c r="F90" s="46"/>
      <c r="G90" s="11">
        <v>5686261.3200000003</v>
      </c>
    </row>
    <row r="91" spans="1:7">
      <c r="A91" s="19"/>
      <c r="B91" s="27" t="str">
        <f>Details!B94</f>
        <v>F. DESIGNATED SAVINGS</v>
      </c>
      <c r="C91" s="57">
        <f>Details!M94</f>
        <v>0</v>
      </c>
      <c r="D91" s="87">
        <f>Details!U94</f>
        <v>0</v>
      </c>
      <c r="E91" s="384"/>
      <c r="F91" s="46"/>
      <c r="G91" s="11">
        <v>0</v>
      </c>
    </row>
    <row r="92" spans="1:7">
      <c r="A92" s="19"/>
      <c r="B92" s="24" t="str">
        <f>Details!B95</f>
        <v>Pastorium (rent, development of land etc.)</v>
      </c>
      <c r="C92" s="4">
        <f>Details!M95</f>
        <v>0</v>
      </c>
      <c r="D92" s="93">
        <f>Details!U95</f>
        <v>0</v>
      </c>
      <c r="E92" s="384"/>
      <c r="F92" s="46"/>
      <c r="G92" s="11">
        <v>0</v>
      </c>
    </row>
    <row r="93" spans="1:7">
      <c r="A93" s="19"/>
      <c r="B93" s="24" t="str">
        <f>Details!B96</f>
        <v>New auditorium</v>
      </c>
      <c r="C93" s="4">
        <f>Details!M96</f>
        <v>0</v>
      </c>
      <c r="D93" s="93">
        <f>Details!U96</f>
        <v>0</v>
      </c>
      <c r="E93" s="384"/>
      <c r="F93" s="46"/>
      <c r="G93" s="11">
        <v>0</v>
      </c>
    </row>
    <row r="94" spans="1:7">
      <c r="A94" s="19"/>
      <c r="B94" s="24"/>
      <c r="C94" s="4"/>
      <c r="D94" s="93"/>
      <c r="E94" s="384"/>
      <c r="F94" s="46"/>
      <c r="G94" s="11">
        <v>0</v>
      </c>
    </row>
    <row r="95" spans="1:7" s="9" customFormat="1">
      <c r="A95" s="158"/>
      <c r="B95" s="25" t="str">
        <f>Details!B98</f>
        <v>Total Expenditure</v>
      </c>
      <c r="C95" s="7">
        <f>Details!M98</f>
        <v>0</v>
      </c>
      <c r="D95" s="87">
        <f>Details!U98</f>
        <v>7915532.8292500004</v>
      </c>
      <c r="E95" s="385">
        <f>D95/F95</f>
        <v>0.56402492769993562</v>
      </c>
      <c r="F95" s="46">
        <f>Details!W98</f>
        <v>14034012.4</v>
      </c>
      <c r="G95" s="159">
        <v>0</v>
      </c>
    </row>
    <row r="96" spans="1:7" s="399" customFormat="1" ht="30">
      <c r="A96" s="392"/>
      <c r="B96" s="393" t="str">
        <f>Details!B99</f>
        <v>Balances in the church's accounts plus imprest account</v>
      </c>
      <c r="C96" s="391">
        <f>Details!M99</f>
        <v>0</v>
      </c>
      <c r="D96" s="402">
        <f>Details!U99</f>
        <v>0</v>
      </c>
      <c r="E96" s="401"/>
      <c r="F96" s="46">
        <f>Details!W99</f>
        <v>0</v>
      </c>
      <c r="G96" s="398"/>
    </row>
    <row r="97" spans="1:11">
      <c r="A97" s="19"/>
      <c r="B97" s="26" t="str">
        <f>Details!B100</f>
        <v>First Bank of Nigeria</v>
      </c>
      <c r="C97" s="4">
        <f>Details!M100</f>
        <v>0</v>
      </c>
      <c r="D97" s="35">
        <f>Details!U100</f>
        <v>0</v>
      </c>
      <c r="E97" s="384"/>
      <c r="F97" s="46">
        <f>Details!W100</f>
        <v>0</v>
      </c>
      <c r="G97" s="11">
        <v>7091172.1099999994</v>
      </c>
    </row>
    <row r="98" spans="1:11">
      <c r="A98" s="19"/>
      <c r="B98" s="24" t="str">
        <f>Details!B101</f>
        <v>Add Cash/Cheque in-transit - FBN</v>
      </c>
      <c r="C98" s="4">
        <f>Details!M101</f>
        <v>0</v>
      </c>
      <c r="D98" s="35">
        <f>Details!U101</f>
        <v>0</v>
      </c>
      <c r="E98" s="384"/>
      <c r="F98" s="46">
        <f>Details!W101</f>
        <v>0</v>
      </c>
      <c r="G98" s="11">
        <v>1276448</v>
      </c>
    </row>
    <row r="99" spans="1:11">
      <c r="A99" s="19"/>
      <c r="B99" s="26" t="str">
        <f>Details!B102</f>
        <v>Less Unpresented cheques - FBN</v>
      </c>
      <c r="C99" s="47">
        <f>Details!M102</f>
        <v>0</v>
      </c>
      <c r="D99" s="48">
        <f>Details!U102</f>
        <v>0</v>
      </c>
      <c r="E99" s="386"/>
      <c r="F99" s="46">
        <f>Details!W102</f>
        <v>0</v>
      </c>
      <c r="G99" s="11">
        <v>4209813.32</v>
      </c>
    </row>
    <row r="100" spans="1:11" ht="18.75" customHeight="1">
      <c r="A100" s="19"/>
      <c r="B100" s="26" t="str">
        <f>Details!B103</f>
        <v>Randalpha MFB</v>
      </c>
      <c r="C100" s="4">
        <f>Details!M103</f>
        <v>0</v>
      </c>
      <c r="D100" s="78">
        <f>Details!U103</f>
        <v>0</v>
      </c>
      <c r="E100" s="384"/>
      <c r="F100" s="46">
        <f>Details!W103</f>
        <v>0</v>
      </c>
      <c r="G100">
        <v>5486261.3200000003</v>
      </c>
    </row>
    <row r="101" spans="1:11">
      <c r="A101" s="19"/>
      <c r="B101" s="26" t="str">
        <f>Details!B104</f>
        <v>Access Bank</v>
      </c>
      <c r="C101" s="4">
        <f>Details!M104</f>
        <v>0</v>
      </c>
      <c r="D101" s="78">
        <f>Details!U104</f>
        <v>0</v>
      </c>
      <c r="E101" s="384"/>
      <c r="F101" s="46">
        <f>Details!W104</f>
        <v>0</v>
      </c>
    </row>
    <row r="102" spans="1:11">
      <c r="A102" s="19"/>
      <c r="B102" s="26" t="str">
        <f>Details!B105</f>
        <v>Add Cash/Cheque in-transit - Access Bank</v>
      </c>
      <c r="C102" s="47">
        <f>Details!M105</f>
        <v>0</v>
      </c>
      <c r="D102" s="78">
        <f>Details!U105</f>
        <v>0</v>
      </c>
      <c r="E102" s="384"/>
      <c r="F102" s="46">
        <f>Details!W105</f>
        <v>0</v>
      </c>
    </row>
    <row r="103" spans="1:11">
      <c r="A103" s="19"/>
      <c r="B103" s="26" t="str">
        <f>Details!B106</f>
        <v>Less Uncleared cheque - Access Bank</v>
      </c>
      <c r="C103" s="47">
        <f>Details!M106</f>
        <v>0</v>
      </c>
      <c r="D103" s="78">
        <f>Details!U106</f>
        <v>0</v>
      </c>
      <c r="E103" s="384"/>
      <c r="F103" s="46">
        <f>Details!W106</f>
        <v>0</v>
      </c>
    </row>
    <row r="104" spans="1:11">
      <c r="A104" s="19"/>
      <c r="B104" s="26" t="str">
        <f>Details!B107</f>
        <v>Imprest account (cash on hand)</v>
      </c>
      <c r="C104" s="47">
        <f>Details!M107</f>
        <v>0</v>
      </c>
      <c r="D104" s="78">
        <f>Details!U107</f>
        <v>0</v>
      </c>
      <c r="E104" s="384"/>
      <c r="F104" s="46">
        <f>Details!W107</f>
        <v>0</v>
      </c>
    </row>
    <row r="105" spans="1:11">
      <c r="A105" s="19"/>
      <c r="B105" s="25" t="str">
        <f>Details!B108</f>
        <v>CONSOLIDATED INCOME &amp; EXPENDITURE REPORT</v>
      </c>
      <c r="C105" s="47"/>
      <c r="D105" s="78"/>
      <c r="E105" s="384"/>
      <c r="F105" s="46">
        <f>Details!W108</f>
        <v>0</v>
      </c>
    </row>
    <row r="106" spans="1:11" ht="18" customHeight="1">
      <c r="A106" s="19"/>
      <c r="B106" s="27" t="str">
        <f>Details!B109</f>
        <v>Income from all sources, including B/F from 2020</v>
      </c>
      <c r="C106" s="57">
        <f>Details!M109</f>
        <v>0</v>
      </c>
      <c r="D106" s="8">
        <f>Details!U109</f>
        <v>8160163.1500000004</v>
      </c>
      <c r="E106" s="385">
        <f>D106/F106</f>
        <v>0.65330572552695731</v>
      </c>
      <c r="F106" s="46">
        <f>Details!W109</f>
        <v>12490573.450000001</v>
      </c>
    </row>
    <row r="107" spans="1:11">
      <c r="A107" s="19"/>
      <c r="B107" s="27" t="str">
        <f>Details!B110</f>
        <v>Total expenditure on new auditorium</v>
      </c>
      <c r="C107" s="57">
        <f>Details!M110</f>
        <v>0</v>
      </c>
      <c r="D107" s="8">
        <f>Details!U110</f>
        <v>3294766.88</v>
      </c>
      <c r="E107" s="385">
        <f>D107/F107</f>
        <v>0.94082435179897195</v>
      </c>
      <c r="F107" s="46">
        <f>Details!W110</f>
        <v>3502000</v>
      </c>
    </row>
    <row r="108" spans="1:11" ht="27" customHeight="1">
      <c r="A108" s="19"/>
      <c r="B108" s="27" t="str">
        <f>Details!B111</f>
        <v>General expenditure including amount transferred to building fund</v>
      </c>
      <c r="C108" s="57">
        <f>Details!M111</f>
        <v>0</v>
      </c>
      <c r="D108" s="87">
        <f>Details!U111</f>
        <v>5320765.9492499996</v>
      </c>
      <c r="E108" s="387">
        <f>D108/F108</f>
        <v>0.37913362177519522</v>
      </c>
      <c r="F108" s="46">
        <f>Details!W111</f>
        <v>14034012.4</v>
      </c>
    </row>
    <row r="109" spans="1:11" ht="30" customHeight="1" thickBot="1">
      <c r="A109" s="19"/>
      <c r="B109" s="409" t="str">
        <f>Details!B112</f>
        <v>Total expenditure: new auditorium &amp; general</v>
      </c>
      <c r="C109" s="57">
        <f>Details!M112</f>
        <v>0</v>
      </c>
      <c r="D109" s="87">
        <f>Details!U112</f>
        <v>7915532.8292500004</v>
      </c>
      <c r="E109" s="387">
        <f>D109/F109</f>
        <v>0.56402492769993562</v>
      </c>
      <c r="F109" s="378">
        <f>Details!W112</f>
        <v>14034012.4</v>
      </c>
    </row>
    <row r="110" spans="1:11" ht="15.75" hidden="1" thickTop="1">
      <c r="A110" s="18"/>
      <c r="B110" s="403" t="str">
        <f>Details!B113</f>
        <v>Control</v>
      </c>
      <c r="C110" s="403">
        <f>Details!C113</f>
        <v>-299999.99999999977</v>
      </c>
      <c r="D110" s="78">
        <f>Details!U113</f>
        <v>244630.32074999996</v>
      </c>
      <c r="E110" s="519"/>
    </row>
    <row r="111" spans="1:11" ht="79.5" customHeight="1" thickTop="1" thickBot="1">
      <c r="A111" s="92"/>
      <c r="B111" s="763" t="s">
        <v>175</v>
      </c>
      <c r="C111" s="764"/>
      <c r="D111" s="764"/>
      <c r="E111" s="765"/>
      <c r="F111" s="517"/>
      <c r="G111" s="517"/>
      <c r="H111" s="517"/>
      <c r="I111" s="517"/>
      <c r="J111" s="517"/>
      <c r="K111" s="518"/>
    </row>
    <row r="112" spans="1:11" ht="15.75" thickTop="1"/>
  </sheetData>
  <mergeCells count="4">
    <mergeCell ref="A1:E1"/>
    <mergeCell ref="A2:E2"/>
    <mergeCell ref="A3:E3"/>
    <mergeCell ref="B111:E111"/>
  </mergeCells>
  <pageMargins left="0.7" right="0.7" top="0.5" bottom="0.5" header="0.3" footer="0.3"/>
  <pageSetup paperSize="9" scale="80" fitToHeight="2" orientation="portrait" r:id="rId1"/>
  <headerFooter>
    <oddFooter>&amp;R&amp;P</oddFooter>
  </headerFooter>
  <rowBreaks count="1" manualBreakCount="1">
    <brk id="59" max="16383" man="1"/>
  </rowBreaks>
</worksheet>
</file>

<file path=xl/worksheets/sheet16.xml><?xml version="1.0" encoding="utf-8"?>
<worksheet xmlns="http://schemas.openxmlformats.org/spreadsheetml/2006/main" xmlns:r="http://schemas.openxmlformats.org/officeDocument/2006/relationships">
  <dimension ref="A1:H120"/>
  <sheetViews>
    <sheetView topLeftCell="A103" zoomScaleSheetLayoutView="90" workbookViewId="0">
      <selection activeCell="B5" sqref="B5"/>
    </sheetView>
  </sheetViews>
  <sheetFormatPr defaultRowHeight="15"/>
  <cols>
    <col min="1" max="1" width="8.28515625" customWidth="1"/>
    <col min="2" max="2" width="44.7109375" customWidth="1"/>
    <col min="3" max="3" width="21.140625" customWidth="1"/>
    <col min="4" max="4" width="19.42578125" customWidth="1"/>
    <col min="5" max="5" width="15" style="388" hidden="1" customWidth="1"/>
    <col min="6" max="6" width="24" hidden="1" customWidth="1"/>
    <col min="7" max="7" width="22.140625" customWidth="1"/>
    <col min="8" max="8" width="34" customWidth="1"/>
  </cols>
  <sheetData>
    <row r="1" spans="1:8" ht="18" thickTop="1">
      <c r="A1" s="735" t="s">
        <v>30</v>
      </c>
      <c r="B1" s="736"/>
      <c r="C1" s="736"/>
      <c r="D1" s="736"/>
      <c r="E1" s="737"/>
    </row>
    <row r="2" spans="1:8" ht="17.25">
      <c r="A2" s="738" t="s">
        <v>163</v>
      </c>
      <c r="B2" s="759"/>
      <c r="C2" s="759"/>
      <c r="D2" s="759"/>
      <c r="E2" s="740"/>
    </row>
    <row r="3" spans="1:8" ht="17.25">
      <c r="A3" s="738" t="s">
        <v>186</v>
      </c>
      <c r="B3" s="759"/>
      <c r="C3" s="759"/>
      <c r="D3" s="759"/>
      <c r="E3" s="740"/>
    </row>
    <row r="4" spans="1:8">
      <c r="A4" s="18"/>
      <c r="B4" s="56" t="s">
        <v>40</v>
      </c>
      <c r="C4" s="3"/>
      <c r="E4" s="383"/>
    </row>
    <row r="5" spans="1:8" ht="40.5" customHeight="1">
      <c r="A5" s="19" t="s">
        <v>188</v>
      </c>
      <c r="B5" s="56"/>
      <c r="C5" s="56" t="s">
        <v>131</v>
      </c>
      <c r="D5" s="58" t="s">
        <v>41</v>
      </c>
      <c r="E5" s="110" t="s">
        <v>189</v>
      </c>
      <c r="F5" s="38" t="s">
        <v>190</v>
      </c>
    </row>
    <row r="6" spans="1:8">
      <c r="A6" s="19">
        <v>1</v>
      </c>
      <c r="B6" s="24" t="str">
        <f>Details!B6</f>
        <v>Bank interest</v>
      </c>
      <c r="C6" s="4">
        <f>Details!P6</f>
        <v>0</v>
      </c>
      <c r="D6" s="35">
        <f>Details!V6</f>
        <v>528.69999999999993</v>
      </c>
      <c r="E6" s="384">
        <f>D6/F6</f>
        <v>0.88116666666666654</v>
      </c>
      <c r="F6" s="46">
        <f>Details!W6</f>
        <v>600</v>
      </c>
      <c r="G6" s="23">
        <v>869.18999999999994</v>
      </c>
      <c r="H6" s="2">
        <f>D6-G6</f>
        <v>-340.49</v>
      </c>
    </row>
    <row r="7" spans="1:8">
      <c r="A7" s="19">
        <v>2</v>
      </c>
      <c r="B7" s="24" t="str">
        <f>Details!B7</f>
        <v>Benevolence</v>
      </c>
      <c r="C7" s="4">
        <f>Details!P7</f>
        <v>0</v>
      </c>
      <c r="D7" s="35">
        <f>Details!V7</f>
        <v>121770</v>
      </c>
      <c r="E7" s="384">
        <f t="shared" ref="E7:E18" si="0">D7/F7</f>
        <v>0.81179999999999997</v>
      </c>
      <c r="F7" s="46">
        <f>Details!W7</f>
        <v>150000</v>
      </c>
      <c r="G7" s="23">
        <v>128265</v>
      </c>
    </row>
    <row r="8" spans="1:8">
      <c r="A8" s="19">
        <v>3</v>
      </c>
      <c r="B8" s="24" t="str">
        <f>Details!B8</f>
        <v>Building (cash and kind)</v>
      </c>
      <c r="C8" s="4">
        <f>Details!P8</f>
        <v>0</v>
      </c>
      <c r="D8" s="35">
        <f>Details!V8</f>
        <v>943800</v>
      </c>
      <c r="E8" s="384">
        <f t="shared" si="0"/>
        <v>0.47189999999999999</v>
      </c>
      <c r="F8" s="46">
        <f>Details!W8</f>
        <v>2000000</v>
      </c>
      <c r="G8" s="23">
        <v>1076206.57</v>
      </c>
    </row>
    <row r="9" spans="1:8">
      <c r="A9" s="19">
        <v>4</v>
      </c>
      <c r="B9" s="24" t="str">
        <f>Details!B9</f>
        <v>Designated offering towards borehole</v>
      </c>
      <c r="C9" s="4">
        <f>Details!P9</f>
        <v>0</v>
      </c>
      <c r="D9" s="35">
        <f>Details!V9</f>
        <v>418000</v>
      </c>
      <c r="E9" s="384"/>
      <c r="F9" s="46">
        <f>Details!W9</f>
        <v>100000</v>
      </c>
      <c r="G9" s="23">
        <v>138000</v>
      </c>
    </row>
    <row r="10" spans="1:8" hidden="1">
      <c r="A10" s="19">
        <v>4</v>
      </c>
      <c r="B10" s="24" t="str">
        <f>Details!B10</f>
        <v>Designated offering towards Praise Festival</v>
      </c>
      <c r="C10" s="4">
        <f>Details!P10</f>
        <v>0</v>
      </c>
      <c r="D10" s="35">
        <f>Details!V10</f>
        <v>0</v>
      </c>
      <c r="E10" s="384"/>
      <c r="F10" s="46">
        <f>Details!W10</f>
        <v>0</v>
      </c>
      <c r="G10" s="23">
        <v>0</v>
      </c>
    </row>
    <row r="11" spans="1:8">
      <c r="A11" s="19">
        <v>5</v>
      </c>
      <c r="B11" s="24" t="str">
        <f>Details!B11</f>
        <v>Foreign Mission offering</v>
      </c>
      <c r="C11" s="4">
        <f>Details!P11</f>
        <v>0</v>
      </c>
      <c r="D11" s="35">
        <f>Details!V11</f>
        <v>0</v>
      </c>
      <c r="E11" s="384"/>
      <c r="F11" s="46">
        <f>Details!W11</f>
        <v>0</v>
      </c>
      <c r="G11" s="23">
        <v>0</v>
      </c>
    </row>
    <row r="12" spans="1:8" ht="17.25" customHeight="1">
      <c r="A12" s="19">
        <v>5</v>
      </c>
      <c r="B12" s="26" t="str">
        <f>Details!B12</f>
        <v>Home Mission offering</v>
      </c>
      <c r="C12" s="4">
        <f>Details!P12</f>
        <v>0</v>
      </c>
      <c r="D12" s="35">
        <f>Details!V12</f>
        <v>100000</v>
      </c>
      <c r="E12" s="384"/>
      <c r="F12" s="46">
        <f>Details!W12</f>
        <v>300000</v>
      </c>
      <c r="G12" s="23">
        <v>0</v>
      </c>
    </row>
    <row r="13" spans="1:8">
      <c r="A13" s="19">
        <v>7</v>
      </c>
      <c r="B13" s="24" t="str">
        <f>Details!B14</f>
        <v>Designated - Teenagers' Church</v>
      </c>
      <c r="C13" s="4">
        <f>Details!P14</f>
        <v>0</v>
      </c>
      <c r="D13" s="35">
        <f>Details!V14</f>
        <v>0</v>
      </c>
      <c r="E13" s="384"/>
      <c r="F13" s="46">
        <f>Details!W14</f>
        <v>50000</v>
      </c>
      <c r="G13" s="23">
        <v>10685</v>
      </c>
    </row>
    <row r="14" spans="1:8">
      <c r="A14" s="19">
        <v>7</v>
      </c>
      <c r="B14" s="24" t="str">
        <f>Details!B15</f>
        <v>Offering</v>
      </c>
      <c r="C14" s="4">
        <f>Details!P15</f>
        <v>0</v>
      </c>
      <c r="D14" s="35">
        <f>Details!V15</f>
        <v>598815</v>
      </c>
      <c r="E14" s="384">
        <f t="shared" si="0"/>
        <v>0.59881499999999999</v>
      </c>
      <c r="F14" s="46">
        <f>Details!W15</f>
        <v>1000000</v>
      </c>
      <c r="G14" s="23">
        <v>965885</v>
      </c>
    </row>
    <row r="15" spans="1:8">
      <c r="A15" s="19">
        <v>8</v>
      </c>
      <c r="B15" s="24" t="str">
        <f>Details!B16</f>
        <v xml:space="preserve">Sunday School </v>
      </c>
      <c r="C15" s="4">
        <f>Details!P16</f>
        <v>0</v>
      </c>
      <c r="D15" s="35">
        <f>Details!V16</f>
        <v>125430</v>
      </c>
      <c r="E15" s="384">
        <f t="shared" si="0"/>
        <v>0.73782352941176466</v>
      </c>
      <c r="F15" s="46">
        <f>Details!W16</f>
        <v>170000</v>
      </c>
      <c r="G15" s="23">
        <v>160480</v>
      </c>
    </row>
    <row r="16" spans="1:8">
      <c r="A16" s="19">
        <v>9</v>
      </c>
      <c r="B16" s="24" t="str">
        <f>Details!B17</f>
        <v>Thanksgiving</v>
      </c>
      <c r="C16" s="4">
        <f>Details!P17</f>
        <v>0</v>
      </c>
      <c r="D16" s="35">
        <f>Details!V17</f>
        <v>423875</v>
      </c>
      <c r="E16" s="384">
        <f t="shared" si="0"/>
        <v>1.0596874999999999</v>
      </c>
      <c r="F16" s="46">
        <f>Details!W17</f>
        <v>400000</v>
      </c>
      <c r="G16" s="23">
        <v>446265</v>
      </c>
    </row>
    <row r="17" spans="1:7">
      <c r="A17" s="19">
        <v>10</v>
      </c>
      <c r="B17" s="24" t="str">
        <f>Details!B18</f>
        <v>Tithes</v>
      </c>
      <c r="C17" s="4">
        <f>Details!P18</f>
        <v>0</v>
      </c>
      <c r="D17" s="35">
        <f>Details!V18</f>
        <v>3607971</v>
      </c>
      <c r="E17" s="384">
        <f t="shared" si="0"/>
        <v>0.55507246153846157</v>
      </c>
      <c r="F17" s="46">
        <f>Details!W18</f>
        <v>6500000</v>
      </c>
      <c r="G17" s="23">
        <v>5912447</v>
      </c>
    </row>
    <row r="18" spans="1:7" s="9" customFormat="1">
      <c r="A18" s="158"/>
      <c r="B18" s="25" t="str">
        <f>Details!B19</f>
        <v>Total income this reporting period</v>
      </c>
      <c r="C18" s="7">
        <f>Details!P19</f>
        <v>0</v>
      </c>
      <c r="D18" s="50">
        <f>Details!V19</f>
        <v>6340189.7000000002</v>
      </c>
      <c r="E18" s="385">
        <f t="shared" si="0"/>
        <v>0.59417368282945671</v>
      </c>
      <c r="F18" s="46">
        <f>Details!W19</f>
        <v>10670600</v>
      </c>
      <c r="G18" s="523">
        <v>8839102.7599999998</v>
      </c>
    </row>
    <row r="19" spans="1:7" ht="30">
      <c r="A19" s="19"/>
      <c r="B19" s="115" t="str">
        <f>Details!B20</f>
        <v>B/F from previous month/quarter: First Bank of Nigeria</v>
      </c>
      <c r="C19" s="47">
        <f>Details!P20</f>
        <v>0</v>
      </c>
      <c r="D19" s="47">
        <f>Details!V20</f>
        <v>286762.07</v>
      </c>
      <c r="E19" s="384"/>
      <c r="F19" s="46">
        <f>Details!W20</f>
        <v>286762.07</v>
      </c>
      <c r="G19" s="23">
        <v>156556.89999999997</v>
      </c>
    </row>
    <row r="20" spans="1:7">
      <c r="A20" s="19"/>
      <c r="B20" s="116" t="str">
        <f>Details!B21</f>
        <v xml:space="preserve">                               Randalapha MFB</v>
      </c>
      <c r="C20" s="4">
        <f>Details!P21</f>
        <v>0</v>
      </c>
      <c r="D20" s="47">
        <f>Details!V21</f>
        <v>16787.310000000001</v>
      </c>
      <c r="E20" s="384"/>
      <c r="F20" s="46">
        <f>Details!W21</f>
        <v>16787.310000000001</v>
      </c>
      <c r="G20" s="23">
        <v>39888.36</v>
      </c>
    </row>
    <row r="21" spans="1:7">
      <c r="A21" s="19"/>
      <c r="B21" s="116" t="str">
        <f>Details!B22</f>
        <v xml:space="preserve">                               Access Bank (Building fund)</v>
      </c>
      <c r="C21" s="4">
        <f>Details!P22</f>
        <v>0</v>
      </c>
      <c r="D21" s="47">
        <f>Details!V22</f>
        <v>1513424.07</v>
      </c>
      <c r="E21" s="384"/>
      <c r="F21" s="46">
        <f>Details!W22</f>
        <v>1513424.07</v>
      </c>
      <c r="G21" s="23">
        <v>531235.5</v>
      </c>
    </row>
    <row r="22" spans="1:7" ht="30" customHeight="1">
      <c r="A22" s="19"/>
      <c r="B22" s="390" t="str">
        <f>Details!B23</f>
        <v xml:space="preserve">                               Imprest Account (Cash on hand)</v>
      </c>
      <c r="C22" s="47">
        <f>Details!P23</f>
        <v>0</v>
      </c>
      <c r="D22" s="47">
        <f>Details!V23</f>
        <v>3000</v>
      </c>
      <c r="E22" s="384"/>
      <c r="F22" s="46">
        <f>Details!W23</f>
        <v>3000</v>
      </c>
      <c r="G22" s="23">
        <v>4190</v>
      </c>
    </row>
    <row r="23" spans="1:7">
      <c r="A23" s="19"/>
      <c r="B23" s="24" t="str">
        <f>Details!B24</f>
        <v>Total B/F from 2020 or last month or quarter</v>
      </c>
      <c r="C23" s="4">
        <f>Details!P24</f>
        <v>0</v>
      </c>
      <c r="D23" s="4">
        <f>Details!C24</f>
        <v>1819973.4500000002</v>
      </c>
      <c r="E23" s="384"/>
      <c r="F23" s="46">
        <f>Details!W24</f>
        <v>1819973.4500000002</v>
      </c>
      <c r="G23" s="23">
        <v>731870.76</v>
      </c>
    </row>
    <row r="24" spans="1:7">
      <c r="A24" s="19"/>
      <c r="B24" s="25" t="str">
        <f>Details!B25</f>
        <v>Total Income/Available cash</v>
      </c>
      <c r="C24" s="7">
        <f>Details!P25</f>
        <v>0</v>
      </c>
      <c r="D24" s="50">
        <f>SUM(D18:D22)</f>
        <v>8160163.1500000004</v>
      </c>
      <c r="E24" s="385">
        <f t="shared" ref="E24:E87" si="1">D24/F24</f>
        <v>0.65330572552695731</v>
      </c>
      <c r="F24" s="46">
        <f>Details!W25</f>
        <v>12490573.450000001</v>
      </c>
      <c r="G24" s="23">
        <v>9570973.5199999996</v>
      </c>
    </row>
    <row r="25" spans="1:7">
      <c r="A25" s="19"/>
      <c r="B25" s="25" t="str">
        <f>Details!B26</f>
        <v>EXPENDITURE</v>
      </c>
      <c r="C25" s="4"/>
      <c r="D25" s="35"/>
      <c r="E25" s="384"/>
      <c r="F25" s="46">
        <f>Details!W26</f>
        <v>0</v>
      </c>
      <c r="G25" s="23"/>
    </row>
    <row r="26" spans="1:7">
      <c r="A26" s="19"/>
      <c r="B26" s="25" t="str">
        <f>Details!B27</f>
        <v>A. CHURCH MINISTRIES</v>
      </c>
      <c r="C26" s="7">
        <f>Details!P27</f>
        <v>0</v>
      </c>
      <c r="D26" s="57">
        <f>Details!V27</f>
        <v>1016150</v>
      </c>
      <c r="E26" s="385">
        <f t="shared" si="1"/>
        <v>0.33730000663878379</v>
      </c>
      <c r="F26" s="46">
        <f>Details!W27</f>
        <v>3012600</v>
      </c>
      <c r="G26" s="23">
        <v>1610500</v>
      </c>
    </row>
    <row r="27" spans="1:7">
      <c r="A27" s="19"/>
      <c r="B27" s="389" t="str">
        <f>Details!B28</f>
        <v>Benevolence</v>
      </c>
      <c r="C27" s="7">
        <f>Details!P28</f>
        <v>0</v>
      </c>
      <c r="D27" s="35">
        <f>Details!V28</f>
        <v>193940</v>
      </c>
      <c r="E27" s="384">
        <f t="shared" si="1"/>
        <v>0.543249299719888</v>
      </c>
      <c r="F27" s="46">
        <f>Details!W28</f>
        <v>357000</v>
      </c>
      <c r="G27" s="23">
        <v>442500</v>
      </c>
    </row>
    <row r="28" spans="1:7">
      <c r="A28" s="19"/>
      <c r="B28" s="389" t="str">
        <f>Details!B29</f>
        <v>Childrens' Department</v>
      </c>
      <c r="C28" s="7">
        <f>Details!P29</f>
        <v>0</v>
      </c>
      <c r="D28" s="400">
        <f>Details!V29</f>
        <v>98380</v>
      </c>
      <c r="E28" s="401">
        <f t="shared" si="1"/>
        <v>0.37265151515151518</v>
      </c>
      <c r="F28" s="46">
        <f>Details!W29</f>
        <v>264000</v>
      </c>
      <c r="G28" s="23">
        <v>49450</v>
      </c>
    </row>
    <row r="29" spans="1:7">
      <c r="A29" s="19"/>
      <c r="B29" s="24" t="str">
        <f>Details!B30</f>
        <v>Church decorations</v>
      </c>
      <c r="C29" s="391">
        <f>Details!P30</f>
        <v>0</v>
      </c>
      <c r="D29" s="35">
        <f>Details!V30</f>
        <v>0</v>
      </c>
      <c r="E29" s="384">
        <f t="shared" si="1"/>
        <v>0</v>
      </c>
      <c r="F29" s="46">
        <f>Details!W30</f>
        <v>25000</v>
      </c>
      <c r="G29" s="23">
        <v>6620</v>
      </c>
    </row>
    <row r="30" spans="1:7">
      <c r="A30" s="19"/>
      <c r="B30" s="24" t="str">
        <f>Details!B31</f>
        <v>Church Maintenance</v>
      </c>
      <c r="C30" s="391">
        <f>Details!P31</f>
        <v>0</v>
      </c>
      <c r="D30" s="35">
        <f>Details!V31</f>
        <v>0</v>
      </c>
      <c r="E30" s="384">
        <f t="shared" si="1"/>
        <v>0</v>
      </c>
      <c r="F30" s="46">
        <f>Details!W31</f>
        <v>20000</v>
      </c>
      <c r="G30" s="23">
        <v>0</v>
      </c>
    </row>
    <row r="31" spans="1:7">
      <c r="A31" s="19"/>
      <c r="B31" s="24" t="str">
        <f>Details!B33</f>
        <v>Discipleship Department</v>
      </c>
      <c r="C31" s="391">
        <f>Details!P33</f>
        <v>0</v>
      </c>
      <c r="D31" s="35">
        <f>Details!V33</f>
        <v>0</v>
      </c>
      <c r="E31" s="384">
        <f t="shared" si="1"/>
        <v>0</v>
      </c>
      <c r="F31" s="46">
        <f>Details!W33</f>
        <v>15000</v>
      </c>
      <c r="G31" s="23">
        <v>5900</v>
      </c>
    </row>
    <row r="32" spans="1:7">
      <c r="A32" s="19"/>
      <c r="B32" s="24" t="str">
        <f>Details!B34</f>
        <v>Drama Committee</v>
      </c>
      <c r="C32" s="391">
        <f>Details!P34</f>
        <v>0</v>
      </c>
      <c r="D32" s="35">
        <f>Details!V34</f>
        <v>10000</v>
      </c>
      <c r="E32" s="384">
        <f t="shared" si="1"/>
        <v>0.2857142857142857</v>
      </c>
      <c r="F32" s="46">
        <f>Details!W34</f>
        <v>35000</v>
      </c>
      <c r="G32" s="23">
        <v>0</v>
      </c>
    </row>
    <row r="33" spans="1:7" hidden="1">
      <c r="A33" s="19"/>
      <c r="B33" s="24" t="str">
        <f>Details!B35</f>
        <v>End of year outreach - Heaven's Link Praise Festival</v>
      </c>
      <c r="C33" s="391">
        <f>Details!P35</f>
        <v>0</v>
      </c>
      <c r="D33" s="35">
        <f>Details!V35</f>
        <v>0</v>
      </c>
      <c r="E33" s="384">
        <f t="shared" si="1"/>
        <v>0</v>
      </c>
      <c r="F33" s="344">
        <f>Details!W35</f>
        <v>130000</v>
      </c>
      <c r="G33" s="23">
        <v>0</v>
      </c>
    </row>
    <row r="34" spans="1:7">
      <c r="A34" s="19"/>
      <c r="B34" s="24" t="str">
        <f>Details!B36</f>
        <v>Evangelism Committee</v>
      </c>
      <c r="C34" s="391">
        <f>Details!P36</f>
        <v>0</v>
      </c>
      <c r="D34" s="35">
        <f>Details!V36</f>
        <v>256400</v>
      </c>
      <c r="E34" s="384">
        <f t="shared" si="1"/>
        <v>0.51280000000000003</v>
      </c>
      <c r="F34" s="46">
        <f>Details!W36</f>
        <v>500000</v>
      </c>
      <c r="G34" s="23">
        <v>0</v>
      </c>
    </row>
    <row r="35" spans="1:7" hidden="1">
      <c r="A35" s="19"/>
      <c r="B35" s="24" t="str">
        <f>Details!B37</f>
        <v>Exemplary Youth Award</v>
      </c>
      <c r="C35" s="391">
        <f>Details!P37</f>
        <v>0</v>
      </c>
      <c r="D35" s="35">
        <f>Details!V37</f>
        <v>0</v>
      </c>
      <c r="E35" s="384">
        <f t="shared" si="1"/>
        <v>0</v>
      </c>
      <c r="F35" s="46">
        <f>Details!W37</f>
        <v>75000</v>
      </c>
      <c r="G35" s="23">
        <v>0</v>
      </c>
    </row>
    <row r="36" spans="1:7">
      <c r="A36" s="19"/>
      <c r="B36" s="24" t="str">
        <f>Details!B38</f>
        <v>External Affairs</v>
      </c>
      <c r="C36" s="391">
        <f>Details!P38</f>
        <v>0</v>
      </c>
      <c r="D36" s="35">
        <f>Details!V38</f>
        <v>36940</v>
      </c>
      <c r="E36" s="384">
        <f t="shared" si="1"/>
        <v>0.97210526315789469</v>
      </c>
      <c r="F36" s="46">
        <f>Details!W38</f>
        <v>38000</v>
      </c>
      <c r="G36" s="23">
        <v>42500</v>
      </c>
    </row>
    <row r="37" spans="1:7">
      <c r="A37" s="19"/>
      <c r="B37" s="24" t="str">
        <f>Details!B39</f>
        <v>Health Committee</v>
      </c>
      <c r="C37" s="391">
        <f>Details!P39</f>
        <v>0</v>
      </c>
      <c r="D37" s="35">
        <f>Details!V39</f>
        <v>3200</v>
      </c>
      <c r="E37" s="384">
        <f t="shared" si="1"/>
        <v>9.2753623188405798E-2</v>
      </c>
      <c r="F37" s="46">
        <f>Details!W39</f>
        <v>34500</v>
      </c>
      <c r="G37" s="23">
        <v>20000</v>
      </c>
    </row>
    <row r="38" spans="1:7">
      <c r="A38" s="19"/>
      <c r="B38" s="24" t="str">
        <f>Details!B40</f>
        <v>Hospitality Committee</v>
      </c>
      <c r="C38" s="391">
        <f>Details!P40</f>
        <v>0</v>
      </c>
      <c r="D38" s="35">
        <f>Details!V40</f>
        <v>21990</v>
      </c>
      <c r="E38" s="384">
        <f t="shared" si="1"/>
        <v>8.3675799086757985E-2</v>
      </c>
      <c r="F38" s="46">
        <f>Details!W40</f>
        <v>262800</v>
      </c>
      <c r="G38" s="23">
        <v>157110</v>
      </c>
    </row>
    <row r="39" spans="1:7">
      <c r="A39" s="19"/>
      <c r="B39" s="24" t="str">
        <f>Details!B41</f>
        <v>Media/Sound Unit</v>
      </c>
      <c r="C39" s="391">
        <f>Details!P41</f>
        <v>0</v>
      </c>
      <c r="D39" s="35">
        <f>Details!V41</f>
        <v>46400</v>
      </c>
      <c r="E39" s="384">
        <f t="shared" si="1"/>
        <v>0.30933333333333335</v>
      </c>
      <c r="F39" s="46">
        <f>Details!W41</f>
        <v>150000</v>
      </c>
      <c r="G39" s="23">
        <v>262600</v>
      </c>
    </row>
    <row r="40" spans="1:7">
      <c r="A40" s="19"/>
      <c r="B40" s="24" t="str">
        <f>Details!B42</f>
        <v>MMU</v>
      </c>
      <c r="C40" s="391">
        <f>Details!P42</f>
        <v>0</v>
      </c>
      <c r="D40" s="35">
        <f>Details!V42</f>
        <v>600</v>
      </c>
      <c r="E40" s="384">
        <f t="shared" si="1"/>
        <v>1.2E-2</v>
      </c>
      <c r="F40" s="46">
        <f>Details!W42</f>
        <v>50000</v>
      </c>
      <c r="G40" s="23">
        <v>4500</v>
      </c>
    </row>
    <row r="41" spans="1:7">
      <c r="A41" s="19"/>
      <c r="B41" s="24" t="str">
        <f>Details!B43</f>
        <v>Music Department</v>
      </c>
      <c r="C41" s="391">
        <f>Details!P43</f>
        <v>0</v>
      </c>
      <c r="D41" s="35">
        <f>Details!V43</f>
        <v>49000</v>
      </c>
      <c r="E41" s="384">
        <f t="shared" si="1"/>
        <v>0.17437722419928825</v>
      </c>
      <c r="F41" s="46">
        <f>Details!W43</f>
        <v>281000</v>
      </c>
      <c r="G41" s="23">
        <v>20900</v>
      </c>
    </row>
    <row r="42" spans="1:7">
      <c r="A42" s="19"/>
      <c r="B42" s="24" t="str">
        <f>Details!B44</f>
        <v>Nominating</v>
      </c>
      <c r="C42" s="391">
        <f>Details!P44</f>
        <v>0</v>
      </c>
      <c r="D42" s="35">
        <f>Details!V44</f>
        <v>0</v>
      </c>
      <c r="E42" s="384" t="e">
        <f t="shared" si="1"/>
        <v>#DIV/0!</v>
      </c>
      <c r="F42" s="46">
        <f>Details!W44</f>
        <v>0</v>
      </c>
      <c r="G42" s="23">
        <v>0</v>
      </c>
    </row>
    <row r="43" spans="1:7">
      <c r="A43" s="19"/>
      <c r="B43" s="24" t="str">
        <f>Details!B45</f>
        <v>Property Committee</v>
      </c>
      <c r="C43" s="391">
        <f>Details!P45</f>
        <v>0</v>
      </c>
      <c r="D43" s="35">
        <f>Details!V45</f>
        <v>6000</v>
      </c>
      <c r="E43" s="384">
        <f t="shared" si="1"/>
        <v>0.03</v>
      </c>
      <c r="F43" s="46">
        <f>Details!W45</f>
        <v>200000</v>
      </c>
      <c r="G43" s="23">
        <v>193220</v>
      </c>
    </row>
    <row r="44" spans="1:7">
      <c r="A44" s="19"/>
      <c r="B44" s="24" t="str">
        <f>Details!B46</f>
        <v>Personnel</v>
      </c>
      <c r="C44" s="391">
        <f>Details!P46</f>
        <v>0</v>
      </c>
      <c r="D44" s="35">
        <f>Details!V46</f>
        <v>0</v>
      </c>
      <c r="E44" s="384"/>
      <c r="F44" s="46">
        <f>Details!W46</f>
        <v>0</v>
      </c>
      <c r="G44" s="23">
        <v>0</v>
      </c>
    </row>
    <row r="45" spans="1:7">
      <c r="A45" s="19"/>
      <c r="B45" s="24" t="str">
        <f>Details!B47</f>
        <v>Sanctuary supplies</v>
      </c>
      <c r="C45" s="391">
        <f>Details!P47</f>
        <v>0</v>
      </c>
      <c r="D45" s="35">
        <f>Details!V47</f>
        <v>75500</v>
      </c>
      <c r="E45" s="384">
        <f t="shared" si="1"/>
        <v>0.25166666666666665</v>
      </c>
      <c r="F45" s="46">
        <f>Details!W47</f>
        <v>300000</v>
      </c>
      <c r="G45" s="23">
        <v>242900</v>
      </c>
    </row>
    <row r="46" spans="1:7">
      <c r="A46" s="19"/>
      <c r="B46" s="24" t="str">
        <f>Details!B48</f>
        <v>Stewardship</v>
      </c>
      <c r="C46" s="391">
        <f>Details!P48</f>
        <v>0</v>
      </c>
      <c r="D46" s="35">
        <f>Details!V48</f>
        <v>0</v>
      </c>
      <c r="E46" s="384">
        <f t="shared" si="1"/>
        <v>0</v>
      </c>
      <c r="F46" s="46">
        <f>Details!W48</f>
        <v>10000</v>
      </c>
      <c r="G46" s="23">
        <v>0</v>
      </c>
    </row>
    <row r="47" spans="1:7">
      <c r="A47" s="19"/>
      <c r="B47" s="24" t="str">
        <f>Details!B49</f>
        <v xml:space="preserve">Sunday School </v>
      </c>
      <c r="C47" s="391">
        <f>Details!P49</f>
        <v>0</v>
      </c>
      <c r="D47" s="35">
        <f>Details!V49</f>
        <v>31400</v>
      </c>
      <c r="E47" s="384">
        <f t="shared" si="1"/>
        <v>0.8306878306878307</v>
      </c>
      <c r="F47" s="46">
        <f>Details!W49</f>
        <v>37800</v>
      </c>
      <c r="G47" s="23">
        <v>42100</v>
      </c>
    </row>
    <row r="48" spans="1:7">
      <c r="A48" s="19"/>
      <c r="B48" s="24" t="str">
        <f>Details!B50</f>
        <v>Ushers Committee</v>
      </c>
      <c r="C48" s="391">
        <f>Details!P50</f>
        <v>0</v>
      </c>
      <c r="D48" s="35">
        <f>Details!V50</f>
        <v>2500</v>
      </c>
      <c r="E48" s="384">
        <f t="shared" si="1"/>
        <v>0.3125</v>
      </c>
      <c r="F48" s="46">
        <f>Details!W50</f>
        <v>8000</v>
      </c>
      <c r="G48" s="23">
        <v>0</v>
      </c>
    </row>
    <row r="49" spans="1:7">
      <c r="A49" s="19"/>
      <c r="B49" s="24" t="str">
        <f>Details!B51</f>
        <v>Visitation Committee</v>
      </c>
      <c r="C49" s="391">
        <f>Details!P51</f>
        <v>0</v>
      </c>
      <c r="D49" s="35">
        <f>Details!V51</f>
        <v>7500</v>
      </c>
      <c r="E49" s="384">
        <f t="shared" si="1"/>
        <v>0.46875</v>
      </c>
      <c r="F49" s="46">
        <f>Details!W51</f>
        <v>16000</v>
      </c>
      <c r="G49" s="23">
        <v>9000</v>
      </c>
    </row>
    <row r="50" spans="1:7" s="399" customFormat="1">
      <c r="A50" s="392"/>
      <c r="B50" s="389" t="str">
        <f>Details!B52</f>
        <v>WMU</v>
      </c>
      <c r="C50" s="391">
        <f>Details!P52</f>
        <v>0</v>
      </c>
      <c r="D50" s="400">
        <f>Details!V52</f>
        <v>48000</v>
      </c>
      <c r="E50" s="401">
        <f t="shared" si="1"/>
        <v>0.59627329192546585</v>
      </c>
      <c r="F50" s="397">
        <f>Details!W52</f>
        <v>80500</v>
      </c>
      <c r="G50" s="524">
        <v>36200</v>
      </c>
    </row>
    <row r="51" spans="1:7">
      <c r="A51" s="19"/>
      <c r="B51" s="24" t="str">
        <f>Details!B53</f>
        <v>Youth Fellowship</v>
      </c>
      <c r="C51" s="391">
        <f>Details!P53</f>
        <v>0</v>
      </c>
      <c r="D51" s="35">
        <f>Details!V53</f>
        <v>94000</v>
      </c>
      <c r="E51" s="384">
        <f t="shared" si="1"/>
        <v>1.1325301204819278</v>
      </c>
      <c r="F51" s="46">
        <f>Details!W53</f>
        <v>83000</v>
      </c>
      <c r="G51" s="23">
        <v>15000</v>
      </c>
    </row>
    <row r="52" spans="1:7">
      <c r="A52" s="19"/>
      <c r="B52" s="24" t="str">
        <f>Details!B54</f>
        <v>Teenagers</v>
      </c>
      <c r="C52" s="391">
        <f>Details!P54</f>
        <v>0</v>
      </c>
      <c r="D52" s="35">
        <f>Details!V54</f>
        <v>34400</v>
      </c>
      <c r="E52" s="384">
        <f>D52/F52</f>
        <v>1.72</v>
      </c>
      <c r="F52" s="46">
        <f>Details!W54</f>
        <v>20000</v>
      </c>
      <c r="G52" s="23">
        <v>60000</v>
      </c>
    </row>
    <row r="53" spans="1:7" hidden="1">
      <c r="A53" s="19"/>
      <c r="B53" s="24" t="str">
        <f>Details!B55</f>
        <v>Suspense account</v>
      </c>
      <c r="C53" s="391">
        <f>Details!M55</f>
        <v>0</v>
      </c>
      <c r="D53" s="35">
        <f>Details!U55</f>
        <v>0</v>
      </c>
      <c r="E53" s="384" t="e">
        <f t="shared" si="1"/>
        <v>#DIV/0!</v>
      </c>
      <c r="F53" s="46">
        <f>Details!W55</f>
        <v>0</v>
      </c>
      <c r="G53" s="23"/>
    </row>
    <row r="54" spans="1:7" hidden="1">
      <c r="A54" s="19"/>
      <c r="B54" s="24">
        <f>Details!B56</f>
        <v>0</v>
      </c>
      <c r="C54" s="4"/>
      <c r="D54" s="35">
        <f>Details!U56</f>
        <v>0</v>
      </c>
      <c r="E54" s="384" t="e">
        <f t="shared" si="1"/>
        <v>#DIV/0!</v>
      </c>
      <c r="F54" s="46">
        <f>Details!W56</f>
        <v>0</v>
      </c>
      <c r="G54" s="23"/>
    </row>
    <row r="55" spans="1:7">
      <c r="A55" s="19"/>
      <c r="B55" s="25" t="str">
        <f>Details!B57</f>
        <v>B. CHURCH STAFF</v>
      </c>
      <c r="C55" s="7">
        <f>Details!P57</f>
        <v>0</v>
      </c>
      <c r="D55" s="50">
        <f>Details!V57</f>
        <v>1295169.53</v>
      </c>
      <c r="E55" s="385">
        <f t="shared" si="1"/>
        <v>0.44663907568641337</v>
      </c>
      <c r="F55" s="46">
        <f>Details!W57</f>
        <v>2899812.4</v>
      </c>
      <c r="G55" s="23">
        <v>2350060.4900000002</v>
      </c>
    </row>
    <row r="56" spans="1:7">
      <c r="A56" s="19"/>
      <c r="B56" s="24" t="str">
        <f>Details!B58</f>
        <v>Church Pastor (salaries and allowances)</v>
      </c>
      <c r="C56" s="4">
        <f>Details!P58</f>
        <v>0</v>
      </c>
      <c r="D56" s="35">
        <f>Details!V58</f>
        <v>674440.77</v>
      </c>
      <c r="E56" s="384">
        <f t="shared" si="1"/>
        <v>0.41245127227746647</v>
      </c>
      <c r="F56" s="46">
        <f>Details!W58</f>
        <v>1635201.09</v>
      </c>
      <c r="G56" s="23">
        <v>1122230.6300000001</v>
      </c>
    </row>
    <row r="57" spans="1:7" ht="15" customHeight="1">
      <c r="A57" s="19"/>
      <c r="B57" s="26" t="str">
        <f>Details!B59</f>
        <v>Other Pastors</v>
      </c>
      <c r="C57" s="4">
        <f>Details!P59</f>
        <v>0</v>
      </c>
      <c r="D57" s="35">
        <f>Details!V59</f>
        <v>418634</v>
      </c>
      <c r="E57" s="384">
        <f t="shared" si="1"/>
        <v>0.52991645569620249</v>
      </c>
      <c r="F57" s="46">
        <f>Details!W59</f>
        <v>790000</v>
      </c>
      <c r="G57" s="23">
        <v>464500</v>
      </c>
    </row>
    <row r="58" spans="1:7">
      <c r="A58" s="19"/>
      <c r="B58" s="24" t="str">
        <f>Details!B60</f>
        <v>Janitor</v>
      </c>
      <c r="C58" s="4">
        <f>Details!P60</f>
        <v>0</v>
      </c>
      <c r="D58" s="35">
        <f>Details!V60</f>
        <v>202094.76</v>
      </c>
      <c r="E58" s="384">
        <f t="shared" si="1"/>
        <v>0.42581109160672975</v>
      </c>
      <c r="F58" s="46">
        <f>Details!W60</f>
        <v>474611.31</v>
      </c>
      <c r="G58" s="23">
        <v>266779.86</v>
      </c>
    </row>
    <row r="59" spans="1:7">
      <c r="A59" s="19"/>
      <c r="B59" s="24" t="str">
        <f>Details!B61</f>
        <v>Appreciation service for Pastor</v>
      </c>
      <c r="C59" s="4">
        <f>Details!P61</f>
        <v>0</v>
      </c>
      <c r="D59" s="35">
        <f>Details!V61</f>
        <v>0</v>
      </c>
      <c r="E59" s="384">
        <f>D59/F59</f>
        <v>0</v>
      </c>
      <c r="F59" s="46">
        <v>500000</v>
      </c>
      <c r="G59" s="23">
        <v>496550</v>
      </c>
    </row>
    <row r="60" spans="1:7" s="9" customFormat="1">
      <c r="A60" s="158"/>
      <c r="B60" s="27" t="str">
        <f>Details!B62</f>
        <v>C. OPERATION COSTS</v>
      </c>
      <c r="C60" s="57">
        <f>Details!P62</f>
        <v>0</v>
      </c>
      <c r="D60" s="63">
        <f>Details!V62</f>
        <v>829740.71924999997</v>
      </c>
      <c r="E60" s="387">
        <f t="shared" si="1"/>
        <v>0.77647456414935423</v>
      </c>
      <c r="F60" s="261">
        <f>Details!W62</f>
        <v>1068600</v>
      </c>
      <c r="G60" s="523">
        <v>809411.77</v>
      </c>
    </row>
    <row r="61" spans="1:7">
      <c r="A61" s="19"/>
      <c r="B61" s="24" t="str">
        <f>Details!B64</f>
        <v xml:space="preserve">Bank charges: sms, maintenance, VAT etc. </v>
      </c>
      <c r="C61" s="4">
        <f>Details!P64</f>
        <v>0</v>
      </c>
      <c r="D61" s="35">
        <f>Details!V64</f>
        <v>15220.720000000001</v>
      </c>
      <c r="E61" s="384">
        <f t="shared" si="1"/>
        <v>0.69185090909090918</v>
      </c>
      <c r="F61" s="345">
        <f>Details!W64</f>
        <v>22000</v>
      </c>
      <c r="G61" s="23">
        <v>20986.770000000004</v>
      </c>
    </row>
    <row r="62" spans="1:7">
      <c r="A62" s="19"/>
      <c r="B62" s="24" t="str">
        <f>Details!B65</f>
        <v>Church Council refreshments</v>
      </c>
      <c r="C62" s="4">
        <f>Details!P65</f>
        <v>0</v>
      </c>
      <c r="D62" s="35">
        <f>Details!V65</f>
        <v>8000</v>
      </c>
      <c r="E62" s="384">
        <f t="shared" si="1"/>
        <v>0.33333333333333331</v>
      </c>
      <c r="F62" s="46">
        <f>Details!W65</f>
        <v>24000</v>
      </c>
      <c r="G62" s="23">
        <v>20020</v>
      </c>
    </row>
    <row r="63" spans="1:7">
      <c r="A63" s="19"/>
      <c r="B63" s="24" t="str">
        <f>Details!B66</f>
        <v>Church secreteriat</v>
      </c>
      <c r="C63" s="4">
        <f>Details!P66</f>
        <v>0</v>
      </c>
      <c r="D63" s="35">
        <f>Details!V66</f>
        <v>55470</v>
      </c>
      <c r="E63" s="384">
        <f t="shared" si="1"/>
        <v>0.92449999999999999</v>
      </c>
      <c r="F63" s="46">
        <f>Details!W66</f>
        <v>60000</v>
      </c>
      <c r="G63" s="23">
        <v>80100</v>
      </c>
    </row>
    <row r="64" spans="1:7">
      <c r="A64" s="19"/>
      <c r="B64" s="24" t="str">
        <f>Details!B67</f>
        <v>Convention session</v>
      </c>
      <c r="C64" s="4">
        <f>Details!P67</f>
        <v>0</v>
      </c>
      <c r="D64" s="35">
        <f>Details!V67</f>
        <v>122500</v>
      </c>
      <c r="E64" s="384">
        <f t="shared" si="1"/>
        <v>6.125</v>
      </c>
      <c r="F64" s="46">
        <f>Details!W67</f>
        <v>20000</v>
      </c>
      <c r="G64" s="23">
        <v>11000</v>
      </c>
    </row>
    <row r="65" spans="1:7">
      <c r="A65" s="19"/>
      <c r="B65" s="24" t="str">
        <f>Details!B68</f>
        <v>Electricity - church auditorium</v>
      </c>
      <c r="C65" s="4">
        <f>Details!P68</f>
        <v>0</v>
      </c>
      <c r="D65" s="35">
        <f>Details!V68</f>
        <v>20000</v>
      </c>
      <c r="E65" s="384">
        <f t="shared" si="1"/>
        <v>0.625</v>
      </c>
      <c r="F65" s="46">
        <f>Details!W68</f>
        <v>32000</v>
      </c>
      <c r="G65" s="23">
        <v>0</v>
      </c>
    </row>
    <row r="66" spans="1:7">
      <c r="A66" s="19"/>
      <c r="B66" s="24" t="str">
        <f>Details!B69</f>
        <v>Electricity - Pastorium</v>
      </c>
      <c r="C66" s="4">
        <f>Details!P69</f>
        <v>0</v>
      </c>
      <c r="D66" s="35">
        <f>Details!V69</f>
        <v>10000</v>
      </c>
      <c r="E66" s="384">
        <f t="shared" si="1"/>
        <v>0.20833333333333334</v>
      </c>
      <c r="F66" s="46">
        <f>Details!W69</f>
        <v>48000</v>
      </c>
      <c r="G66" s="23">
        <v>15000</v>
      </c>
    </row>
    <row r="67" spans="1:7">
      <c r="A67" s="19"/>
      <c r="B67" s="24" t="str">
        <f>Details!B70</f>
        <v>Generators - fuel and maintenance church auditorium</v>
      </c>
      <c r="C67" s="4">
        <f>Details!P70</f>
        <v>0</v>
      </c>
      <c r="D67" s="35">
        <f>Details!V70</f>
        <v>136849.99924999999</v>
      </c>
      <c r="E67" s="384">
        <f t="shared" si="1"/>
        <v>0.51479269803888994</v>
      </c>
      <c r="F67" s="345">
        <f>Details!W70</f>
        <v>265835.15999999997</v>
      </c>
      <c r="G67" s="23">
        <v>148225</v>
      </c>
    </row>
    <row r="68" spans="1:7">
      <c r="A68" s="19"/>
      <c r="B68" s="26" t="str">
        <f>Details!B71</f>
        <v>Generators - fuel and maintenance pastorium</v>
      </c>
      <c r="C68" s="47">
        <f>Details!P71</f>
        <v>0</v>
      </c>
      <c r="D68" s="48">
        <f>Details!V71</f>
        <v>99900</v>
      </c>
      <c r="E68" s="386">
        <f t="shared" si="1"/>
        <v>0.90191075074003635</v>
      </c>
      <c r="F68" s="46">
        <f>Details!W71</f>
        <v>110764.84</v>
      </c>
      <c r="G68" s="23">
        <v>105890</v>
      </c>
    </row>
    <row r="69" spans="1:7" hidden="1">
      <c r="A69" s="19"/>
      <c r="B69" s="26" t="str">
        <f>Details!B72</f>
        <v>Keep fit instructor</v>
      </c>
      <c r="C69" s="4">
        <f>Details!P72</f>
        <v>0</v>
      </c>
      <c r="D69" s="35">
        <f>Details!V72</f>
        <v>0</v>
      </c>
      <c r="E69" s="384" t="e">
        <f t="shared" si="1"/>
        <v>#DIV/0!</v>
      </c>
      <c r="F69" s="46">
        <f>Details!W72</f>
        <v>0</v>
      </c>
      <c r="G69" s="23">
        <v>0</v>
      </c>
    </row>
    <row r="70" spans="1:7" ht="19.5" customHeight="1">
      <c r="A70" s="19"/>
      <c r="B70" s="24" t="str">
        <f>Details!B73</f>
        <v xml:space="preserve">Ministers' Conference </v>
      </c>
      <c r="C70" s="4">
        <f>Details!P73</f>
        <v>0</v>
      </c>
      <c r="D70" s="35">
        <f>Details!V73</f>
        <v>0</v>
      </c>
      <c r="E70" s="384">
        <f t="shared" si="1"/>
        <v>0</v>
      </c>
      <c r="F70" s="46">
        <f>Details!W73</f>
        <v>6000</v>
      </c>
      <c r="G70" s="23">
        <v>8800</v>
      </c>
    </row>
    <row r="71" spans="1:7" ht="47.25" customHeight="1">
      <c r="A71" s="19"/>
      <c r="B71" s="157" t="str">
        <f>Details!B74</f>
        <v>Miscellanous (transport for CAN Minister, honorarium for supervisor)</v>
      </c>
      <c r="C71" s="47">
        <f>Details!P74</f>
        <v>0</v>
      </c>
      <c r="D71" s="48">
        <f>Details!V74</f>
        <v>18000</v>
      </c>
      <c r="E71" s="386">
        <f t="shared" si="1"/>
        <v>0.36</v>
      </c>
      <c r="F71" s="46">
        <f>Details!W74</f>
        <v>50000</v>
      </c>
      <c r="G71" s="23">
        <v>90390</v>
      </c>
    </row>
    <row r="72" spans="1:7">
      <c r="A72" s="19"/>
      <c r="B72" s="24" t="str">
        <f>Details!B75</f>
        <v>Motorcycle</v>
      </c>
      <c r="C72" s="4">
        <f>Details!P75</f>
        <v>0</v>
      </c>
      <c r="D72" s="35">
        <f>Details!V75</f>
        <v>3800</v>
      </c>
      <c r="E72" s="384" t="e">
        <f t="shared" si="1"/>
        <v>#DIV/0!</v>
      </c>
      <c r="F72" s="46">
        <f>Details!W75</f>
        <v>0</v>
      </c>
      <c r="G72" s="23">
        <v>22000</v>
      </c>
    </row>
    <row r="73" spans="1:7" s="399" customFormat="1" ht="18" customHeight="1">
      <c r="A73" s="392"/>
      <c r="B73" s="393" t="str">
        <f>Details!B76</f>
        <v>Ogbomoso Conference</v>
      </c>
      <c r="C73" s="394">
        <f>Details!P76</f>
        <v>0</v>
      </c>
      <c r="D73" s="395">
        <f>Details!V76</f>
        <v>0</v>
      </c>
      <c r="E73" s="396">
        <f t="shared" si="1"/>
        <v>0</v>
      </c>
      <c r="F73" s="46">
        <f>Details!W76</f>
        <v>25000</v>
      </c>
      <c r="G73" s="524">
        <v>30500</v>
      </c>
    </row>
    <row r="74" spans="1:7">
      <c r="A74" s="19"/>
      <c r="B74" s="24" t="str">
        <f>Details!B77</f>
        <v xml:space="preserve">Pastorium rent &amp; maintenance </v>
      </c>
      <c r="C74" s="4">
        <f>Details!P77</f>
        <v>0</v>
      </c>
      <c r="D74" s="35">
        <f>Details!V77</f>
        <v>0</v>
      </c>
      <c r="E74" s="384">
        <f t="shared" si="1"/>
        <v>0</v>
      </c>
      <c r="F74" s="46">
        <f>Details!W77</f>
        <v>150000</v>
      </c>
      <c r="G74" s="23">
        <v>205000</v>
      </c>
    </row>
    <row r="75" spans="1:7">
      <c r="A75" s="19"/>
      <c r="B75" s="24" t="str">
        <f>Details!B78</f>
        <v>Pastors Wives' retreat</v>
      </c>
      <c r="C75" s="4">
        <f>Details!P78</f>
        <v>0</v>
      </c>
      <c r="D75" s="35">
        <f>Details!V78</f>
        <v>0</v>
      </c>
      <c r="E75" s="384">
        <f t="shared" si="1"/>
        <v>0</v>
      </c>
      <c r="F75" s="46">
        <f>Details!W78</f>
        <v>5000</v>
      </c>
      <c r="G75" s="23">
        <v>5000</v>
      </c>
    </row>
    <row r="76" spans="1:7" s="61" customFormat="1" ht="36" customHeight="1">
      <c r="A76" s="413"/>
      <c r="B76" s="414" t="str">
        <f>Details!B79</f>
        <v>Workers' retreat organized by the church</v>
      </c>
      <c r="C76" s="47">
        <f>Details!P79</f>
        <v>0</v>
      </c>
      <c r="D76" s="48">
        <f>Details!V79</f>
        <v>40000</v>
      </c>
      <c r="E76" s="386"/>
      <c r="F76" s="345">
        <f>Details!W79</f>
        <v>50000</v>
      </c>
      <c r="G76" s="525">
        <v>46500</v>
      </c>
    </row>
    <row r="77" spans="1:7">
      <c r="A77" s="19"/>
      <c r="B77" s="24"/>
      <c r="C77" s="4"/>
      <c r="D77" s="35"/>
      <c r="E77" s="384"/>
      <c r="F77" s="46"/>
      <c r="G77" s="23">
        <v>0</v>
      </c>
    </row>
    <row r="78" spans="1:7">
      <c r="A78" s="19"/>
      <c r="B78" s="27" t="str">
        <f>Details!B81</f>
        <v>D. NEW AUDITORIUM &amp; OTHER PROJECTS</v>
      </c>
      <c r="C78" s="57">
        <f>Details!P81</f>
        <v>0</v>
      </c>
      <c r="D78" s="63">
        <f>Details!V81</f>
        <v>3855996.88</v>
      </c>
      <c r="E78" s="385">
        <f t="shared" si="1"/>
        <v>0.92870830443159924</v>
      </c>
      <c r="F78" s="345">
        <f>Details!W81</f>
        <v>4152000</v>
      </c>
      <c r="G78" s="23">
        <v>1841010</v>
      </c>
    </row>
    <row r="79" spans="1:7">
      <c r="A79" s="19"/>
      <c r="B79" s="24" t="str">
        <f>Details!B82</f>
        <v>Bank charges - Access bank</v>
      </c>
      <c r="C79" s="4">
        <f>Details!P82</f>
        <v>0</v>
      </c>
      <c r="D79" s="35">
        <f>Details!V82</f>
        <v>4666.88</v>
      </c>
      <c r="E79" s="384">
        <f t="shared" si="1"/>
        <v>2.33344</v>
      </c>
      <c r="F79" s="46">
        <f>Details!W82</f>
        <v>2000</v>
      </c>
      <c r="G79" s="23">
        <v>1100</v>
      </c>
    </row>
    <row r="80" spans="1:7" hidden="1">
      <c r="A80" s="19"/>
      <c r="B80" s="24" t="str">
        <f>Details!B83</f>
        <v>Borehole</v>
      </c>
      <c r="C80" s="4">
        <f>Details!P83</f>
        <v>0</v>
      </c>
      <c r="D80" s="35">
        <f>Details!V83</f>
        <v>561230</v>
      </c>
      <c r="E80" s="384">
        <f t="shared" si="1"/>
        <v>0.86343076923076922</v>
      </c>
      <c r="F80" s="46">
        <f>Details!W83</f>
        <v>650000</v>
      </c>
      <c r="G80" s="23">
        <v>0</v>
      </c>
    </row>
    <row r="81" spans="1:7" s="399" customFormat="1" hidden="1">
      <c r="A81" s="392"/>
      <c r="B81" s="389" t="str">
        <f>Details!B84</f>
        <v>Development loan refund</v>
      </c>
      <c r="C81" s="391">
        <f>Details!P84</f>
        <v>0</v>
      </c>
      <c r="D81" s="400">
        <f>Details!V84</f>
        <v>0</v>
      </c>
      <c r="E81" s="401" t="e">
        <f t="shared" si="1"/>
        <v>#DIV/0!</v>
      </c>
      <c r="F81" s="46">
        <f>Details!W84</f>
        <v>0</v>
      </c>
      <c r="G81" s="524">
        <v>0</v>
      </c>
    </row>
    <row r="82" spans="1:7">
      <c r="A82" s="19"/>
      <c r="B82" s="26" t="str">
        <f>Details!B85</f>
        <v>Gift-in-kind towards church auditorium</v>
      </c>
      <c r="C82" s="47">
        <f>Details!P85</f>
        <v>0</v>
      </c>
      <c r="D82" s="48">
        <f>Details!V85</f>
        <v>20800</v>
      </c>
      <c r="E82" s="386"/>
      <c r="F82" s="46">
        <f>Details!W85</f>
        <v>0</v>
      </c>
      <c r="G82" s="23">
        <v>0</v>
      </c>
    </row>
    <row r="83" spans="1:7" ht="30">
      <c r="A83" s="19"/>
      <c r="B83" s="26" t="str">
        <f>Details!B86</f>
        <v>New  auditorium - block work, columns and roof beam</v>
      </c>
      <c r="C83" s="47">
        <f>Details!P86</f>
        <v>0</v>
      </c>
      <c r="D83" s="48">
        <f>Details!V86</f>
        <v>3269300</v>
      </c>
      <c r="E83" s="386">
        <f t="shared" si="1"/>
        <v>0.9340857142857143</v>
      </c>
      <c r="F83" s="46">
        <f>Details!W86</f>
        <v>3500000</v>
      </c>
      <c r="G83" s="23">
        <v>1839910</v>
      </c>
    </row>
    <row r="84" spans="1:7" hidden="1">
      <c r="A84" s="19"/>
      <c r="B84" s="26" t="str">
        <f>Details!B87</f>
        <v>Erection of new sign posts</v>
      </c>
      <c r="C84" s="47">
        <f>Details!P87</f>
        <v>0</v>
      </c>
      <c r="D84" s="48">
        <f>Details!V87</f>
        <v>0</v>
      </c>
      <c r="E84" s="386"/>
      <c r="F84" s="46">
        <f>Details!W87</f>
        <v>0</v>
      </c>
      <c r="G84" s="23">
        <v>0</v>
      </c>
    </row>
    <row r="85" spans="1:7">
      <c r="A85" s="19"/>
      <c r="B85" s="24"/>
      <c r="C85" s="4"/>
      <c r="D85" s="35"/>
      <c r="E85" s="384"/>
      <c r="F85" s="46"/>
      <c r="G85" s="23"/>
    </row>
    <row r="86" spans="1:7">
      <c r="A86" s="19"/>
      <c r="B86" s="25" t="str">
        <f>Details!B89</f>
        <v>E. COOPERATIVE FUNDS</v>
      </c>
      <c r="C86" s="7">
        <f>Details!P89</f>
        <v>0</v>
      </c>
      <c r="D86" s="50">
        <f>Details!V89</f>
        <v>918475.7</v>
      </c>
      <c r="E86" s="385">
        <f t="shared" si="1"/>
        <v>0.37937864518793885</v>
      </c>
      <c r="F86" s="46">
        <f>Details!W89</f>
        <v>2421000</v>
      </c>
      <c r="G86" s="23">
        <v>1896466.1</v>
      </c>
    </row>
    <row r="87" spans="1:7" ht="30">
      <c r="A87" s="19"/>
      <c r="B87" s="26" t="str">
        <f>Details!B90</f>
        <v>Association contributions - 3% of tithes &amp; SS, thanksgiving and general offerings</v>
      </c>
      <c r="C87" s="4">
        <f>Details!P90</f>
        <v>0</v>
      </c>
      <c r="D87" s="35">
        <f>Details!V90</f>
        <v>91847.51999999999</v>
      </c>
      <c r="E87" s="384">
        <f t="shared" si="1"/>
        <v>0.37937843866171</v>
      </c>
      <c r="F87" s="46">
        <f>Details!W90</f>
        <v>242100</v>
      </c>
      <c r="G87" s="23">
        <v>171195.31</v>
      </c>
    </row>
    <row r="88" spans="1:7" ht="30">
      <c r="A88" s="19"/>
      <c r="B88" s="26" t="str">
        <f>Details!B91</f>
        <v>Conference contributions - 7% of tithes &amp;  SS, thanksgiving and general offerings</v>
      </c>
      <c r="C88" s="4">
        <f>Details!P91</f>
        <v>0</v>
      </c>
      <c r="D88" s="35">
        <f>Details!V91</f>
        <v>214310.88</v>
      </c>
      <c r="E88" s="384">
        <f>D88/F88</f>
        <v>0.37937843866171006</v>
      </c>
      <c r="F88" s="46">
        <f>Details!W91</f>
        <v>564900</v>
      </c>
      <c r="G88" s="23">
        <v>399454.79000000004</v>
      </c>
    </row>
    <row r="89" spans="1:7" ht="30">
      <c r="A89" s="19"/>
      <c r="B89" s="26" t="str">
        <f>Details!B92</f>
        <v>Convention contributions - 20% of tithes &amp; SS, thanksgiving and general  offerings</v>
      </c>
      <c r="C89" s="4">
        <f>Details!P92</f>
        <v>0</v>
      </c>
      <c r="D89" s="35">
        <f>Details!V92</f>
        <v>612317.30000000005</v>
      </c>
      <c r="E89" s="384">
        <f>D89/F89</f>
        <v>0.37937874845105329</v>
      </c>
      <c r="F89" s="46">
        <f>Details!W92</f>
        <v>1614000</v>
      </c>
      <c r="G89" s="23">
        <v>1325816</v>
      </c>
    </row>
    <row r="90" spans="1:7">
      <c r="A90" s="19"/>
      <c r="B90" s="27"/>
      <c r="C90" s="7"/>
      <c r="D90" s="50"/>
      <c r="E90" s="385"/>
      <c r="F90" s="46"/>
      <c r="G90" s="23"/>
    </row>
    <row r="91" spans="1:7">
      <c r="A91" s="19"/>
      <c r="B91" s="27" t="str">
        <f>Details!B94</f>
        <v>F. DESIGNATED SAVINGS</v>
      </c>
      <c r="C91" s="57">
        <f>Details!P94</f>
        <v>0</v>
      </c>
      <c r="D91" s="87">
        <f>Details!V94</f>
        <v>0</v>
      </c>
      <c r="E91" s="384"/>
      <c r="F91" s="46"/>
      <c r="G91" s="23">
        <v>0</v>
      </c>
    </row>
    <row r="92" spans="1:7">
      <c r="A92" s="19"/>
      <c r="B92" s="24" t="str">
        <f>Details!B95</f>
        <v>Pastorium (rent, development of land etc.)</v>
      </c>
      <c r="C92" s="4">
        <f>Details!P95</f>
        <v>0</v>
      </c>
      <c r="D92" s="93">
        <f>Details!V95</f>
        <v>0</v>
      </c>
      <c r="E92" s="384"/>
      <c r="F92" s="46"/>
      <c r="G92" s="23">
        <v>0</v>
      </c>
    </row>
    <row r="93" spans="1:7">
      <c r="A93" s="19"/>
      <c r="B93" s="24" t="str">
        <f>Details!B96</f>
        <v>New auditorium</v>
      </c>
      <c r="C93" s="4">
        <f>Details!P96</f>
        <v>0</v>
      </c>
      <c r="D93" s="93">
        <f>Details!V96</f>
        <v>0</v>
      </c>
      <c r="E93" s="384"/>
      <c r="F93" s="46"/>
      <c r="G93" s="23">
        <v>0</v>
      </c>
    </row>
    <row r="94" spans="1:7">
      <c r="A94" s="19"/>
      <c r="B94" s="24"/>
      <c r="C94" s="4">
        <f>Details!P97</f>
        <v>0</v>
      </c>
      <c r="D94" s="93"/>
      <c r="E94" s="384"/>
      <c r="F94" s="46"/>
      <c r="G94" s="23"/>
    </row>
    <row r="95" spans="1:7" s="9" customFormat="1">
      <c r="A95" s="158"/>
      <c r="B95" s="25" t="str">
        <f>Details!B98</f>
        <v>Total Expenditure</v>
      </c>
      <c r="C95" s="7">
        <f>Details!P98</f>
        <v>0</v>
      </c>
      <c r="D95" s="87">
        <f>Details!V98</f>
        <v>7915532.8292500004</v>
      </c>
      <c r="E95" s="385">
        <f>D95/F95</f>
        <v>0.56402492769993562</v>
      </c>
      <c r="F95" s="46">
        <f>Details!W98</f>
        <v>14034012.4</v>
      </c>
      <c r="G95" s="523">
        <v>8507448.3599999994</v>
      </c>
    </row>
    <row r="96" spans="1:7" s="399" customFormat="1" ht="30">
      <c r="A96" s="392"/>
      <c r="B96" s="393" t="str">
        <f>Details!B99</f>
        <v>Balances in the church's accounts plus imprest account</v>
      </c>
      <c r="C96" s="394">
        <f>Details!P99</f>
        <v>0</v>
      </c>
      <c r="D96" s="402">
        <f>Details!P99</f>
        <v>0</v>
      </c>
      <c r="E96" s="401"/>
      <c r="F96" s="46">
        <f>Details!W99</f>
        <v>0</v>
      </c>
      <c r="G96" s="524">
        <v>1063525.1599999999</v>
      </c>
    </row>
    <row r="97" spans="1:7">
      <c r="A97" s="19"/>
      <c r="B97" s="26" t="str">
        <f>Details!B100</f>
        <v>First Bank of Nigeria</v>
      </c>
      <c r="C97" s="4">
        <f>Details!P100</f>
        <v>0</v>
      </c>
      <c r="D97" s="35">
        <f>Details!P100</f>
        <v>0</v>
      </c>
      <c r="E97" s="384"/>
      <c r="F97" s="46">
        <f>Details!W100</f>
        <v>0</v>
      </c>
      <c r="G97" s="23">
        <v>0</v>
      </c>
    </row>
    <row r="98" spans="1:7">
      <c r="A98" s="19"/>
      <c r="B98" s="24" t="str">
        <f>Details!B101</f>
        <v>Add Cash/Cheque in-transit - FBN</v>
      </c>
      <c r="C98" s="4">
        <f>Details!P101</f>
        <v>0</v>
      </c>
      <c r="D98" s="35">
        <f>Details!P101</f>
        <v>0</v>
      </c>
      <c r="E98" s="384"/>
      <c r="F98" s="46">
        <f>Details!W101</f>
        <v>0</v>
      </c>
      <c r="G98" s="23">
        <v>0</v>
      </c>
    </row>
    <row r="99" spans="1:7">
      <c r="A99" s="19"/>
      <c r="B99" s="26" t="str">
        <f>Details!B102</f>
        <v>Less Unpresented cheques - FBN</v>
      </c>
      <c r="C99" s="47">
        <f>Details!P102</f>
        <v>0</v>
      </c>
      <c r="D99" s="48">
        <f>Details!P102</f>
        <v>0</v>
      </c>
      <c r="E99" s="386"/>
      <c r="F99" s="46">
        <f>Details!W102</f>
        <v>0</v>
      </c>
      <c r="G99" s="23">
        <v>0</v>
      </c>
    </row>
    <row r="100" spans="1:7" ht="18.75" customHeight="1">
      <c r="A100" s="1"/>
      <c r="B100" s="26" t="str">
        <f>Details!B103</f>
        <v>Randalpha MFB</v>
      </c>
      <c r="C100" s="4">
        <f>Details!P103</f>
        <v>0</v>
      </c>
      <c r="D100" s="78">
        <f>Details!P103</f>
        <v>0</v>
      </c>
      <c r="E100" s="404"/>
      <c r="F100" s="46">
        <f>Details!W103</f>
        <v>0</v>
      </c>
      <c r="G100" s="20">
        <v>0</v>
      </c>
    </row>
    <row r="101" spans="1:7">
      <c r="A101" s="1"/>
      <c r="B101" s="26" t="str">
        <f>Details!B104</f>
        <v>Access Bank</v>
      </c>
      <c r="C101" s="4">
        <f>Details!P104</f>
        <v>0</v>
      </c>
      <c r="D101" s="78">
        <f>Details!P104</f>
        <v>0</v>
      </c>
      <c r="E101" s="404"/>
      <c r="F101" s="46">
        <f>Details!W104</f>
        <v>0</v>
      </c>
      <c r="G101" s="20">
        <v>0</v>
      </c>
    </row>
    <row r="102" spans="1:7">
      <c r="A102" s="1"/>
      <c r="B102" s="26" t="str">
        <f>Details!B105</f>
        <v>Add Cash/Cheque in-transit - Access Bank</v>
      </c>
      <c r="C102" s="47">
        <f>Details!P105</f>
        <v>0</v>
      </c>
      <c r="D102" s="78">
        <f>Details!P105</f>
        <v>0</v>
      </c>
      <c r="E102" s="404"/>
      <c r="F102" s="46">
        <f>Details!W105</f>
        <v>0</v>
      </c>
      <c r="G102" s="20">
        <v>0</v>
      </c>
    </row>
    <row r="103" spans="1:7">
      <c r="A103" s="1"/>
      <c r="B103" s="26" t="str">
        <f>Details!B106</f>
        <v>Less Uncleared cheque - Access Bank</v>
      </c>
      <c r="C103" s="47">
        <f>Details!P106</f>
        <v>0</v>
      </c>
      <c r="D103" s="78">
        <f>Details!P106</f>
        <v>0</v>
      </c>
      <c r="E103" s="404"/>
      <c r="F103" s="46">
        <f>Details!W106</f>
        <v>0</v>
      </c>
      <c r="G103" s="20">
        <v>0</v>
      </c>
    </row>
    <row r="104" spans="1:7">
      <c r="A104" s="1"/>
      <c r="B104" s="26" t="str">
        <f>Details!B107</f>
        <v>Imprest account (cash on hand)</v>
      </c>
      <c r="C104" s="47">
        <f>Details!P107</f>
        <v>0</v>
      </c>
      <c r="D104" s="78">
        <f>Details!P107</f>
        <v>0</v>
      </c>
      <c r="E104" s="404"/>
      <c r="F104" s="46">
        <f>Details!W107</f>
        <v>0</v>
      </c>
      <c r="G104" s="20">
        <v>0</v>
      </c>
    </row>
    <row r="105" spans="1:7">
      <c r="A105" s="1"/>
      <c r="B105" s="25" t="str">
        <f>Details!B108</f>
        <v>CONSOLIDATED INCOME &amp; EXPENDITURE REPORT</v>
      </c>
      <c r="C105" s="47"/>
      <c r="D105" s="78"/>
      <c r="E105" s="404"/>
      <c r="F105" s="46">
        <f>Details!W108</f>
        <v>0</v>
      </c>
      <c r="G105" s="20"/>
    </row>
    <row r="106" spans="1:7" ht="18" customHeight="1">
      <c r="A106" s="1"/>
      <c r="B106" s="27" t="str">
        <f>Details!B109</f>
        <v>Income from all sources, including B/F from 2020</v>
      </c>
      <c r="C106" s="57">
        <f>Details!P109</f>
        <v>0</v>
      </c>
      <c r="D106" s="8">
        <f>Details!V109</f>
        <v>8160163.1500000004</v>
      </c>
      <c r="E106" s="405">
        <f>D106/F106</f>
        <v>0.65330572552695731</v>
      </c>
      <c r="F106" s="46">
        <f>Details!W109</f>
        <v>12490573.450000001</v>
      </c>
      <c r="G106" s="526">
        <v>9570973.5199999996</v>
      </c>
    </row>
    <row r="107" spans="1:7">
      <c r="A107" s="1"/>
      <c r="B107" s="27" t="str">
        <f>Details!B110</f>
        <v>Total expenditure on new auditorium</v>
      </c>
      <c r="C107" s="57">
        <f>Details!P110</f>
        <v>0</v>
      </c>
      <c r="D107" s="8">
        <f>Details!V110</f>
        <v>3294766.88</v>
      </c>
      <c r="E107" s="405">
        <f>D107/F107</f>
        <v>0.94082435179897195</v>
      </c>
      <c r="F107" s="46">
        <f>Details!W110</f>
        <v>3502000</v>
      </c>
      <c r="G107" s="526">
        <v>1841010</v>
      </c>
    </row>
    <row r="108" spans="1:7" ht="27" customHeight="1">
      <c r="A108" s="1"/>
      <c r="B108" s="27" t="str">
        <f>Details!B111</f>
        <v>General expenditure including amount transferred to building fund</v>
      </c>
      <c r="C108" s="57">
        <f>Details!P111</f>
        <v>0</v>
      </c>
      <c r="D108" s="87">
        <f>Details!V111</f>
        <v>5320765.9492499996</v>
      </c>
      <c r="E108" s="408">
        <f>D108/F108</f>
        <v>0.37913362177519522</v>
      </c>
      <c r="F108" s="46">
        <f>Details!W111</f>
        <v>14034012.4</v>
      </c>
      <c r="G108" s="526">
        <v>6210438.3600000003</v>
      </c>
    </row>
    <row r="109" spans="1:7" ht="22.5" customHeight="1" thickBot="1">
      <c r="A109" s="1"/>
      <c r="B109" s="409" t="str">
        <f>Details!B112</f>
        <v>Total expenditure: new auditorium &amp; general</v>
      </c>
      <c r="C109" s="57">
        <f>Details!P112</f>
        <v>0</v>
      </c>
      <c r="D109" s="87">
        <f>Details!V112</f>
        <v>7915532.8292500004</v>
      </c>
      <c r="E109" s="408">
        <f>D109/F109</f>
        <v>0.56402492769993562</v>
      </c>
      <c r="F109" s="378">
        <f>Details!W112</f>
        <v>14034012.4</v>
      </c>
      <c r="G109" s="526">
        <v>8051448.3599999994</v>
      </c>
    </row>
    <row r="110" spans="1:7" ht="15.75" thickTop="1">
      <c r="B110" s="403" t="str">
        <f>Details!B113</f>
        <v>Control</v>
      </c>
      <c r="C110" s="403">
        <f>Details!P113</f>
        <v>0</v>
      </c>
      <c r="D110" s="78">
        <f>D106-D109-D96</f>
        <v>244630.32074999996</v>
      </c>
      <c r="G110" s="527">
        <f>G106-G109-G96</f>
        <v>456000.00000000023</v>
      </c>
    </row>
    <row r="111" spans="1:7">
      <c r="B111" s="26">
        <f>Details!B114</f>
        <v>0</v>
      </c>
      <c r="C111" s="403">
        <f>Details!C114</f>
        <v>300000</v>
      </c>
      <c r="G111" s="526"/>
    </row>
    <row r="112" spans="1:7">
      <c r="D112" s="2">
        <f>D95-D109</f>
        <v>0</v>
      </c>
      <c r="G112" s="20"/>
    </row>
    <row r="113" spans="7:7">
      <c r="G113" s="20"/>
    </row>
    <row r="114" spans="7:7">
      <c r="G114" s="20"/>
    </row>
    <row r="115" spans="7:7">
      <c r="G115" s="20"/>
    </row>
    <row r="116" spans="7:7">
      <c r="G116" s="20"/>
    </row>
    <row r="117" spans="7:7">
      <c r="G117" s="20"/>
    </row>
    <row r="118" spans="7:7">
      <c r="G118" s="20"/>
    </row>
    <row r="119" spans="7:7">
      <c r="G119" s="20"/>
    </row>
    <row r="120" spans="7:7">
      <c r="G120" s="20"/>
    </row>
  </sheetData>
  <mergeCells count="3">
    <mergeCell ref="A1:E1"/>
    <mergeCell ref="A2:E2"/>
    <mergeCell ref="A3:E3"/>
  </mergeCells>
  <pageMargins left="0.7" right="0.7" top="0.75" bottom="0.75" header="0.3" footer="0.3"/>
  <pageSetup paperSize="9" scale="80" fitToHeight="2" orientation="portrait" r:id="rId1"/>
  <rowBreaks count="1" manualBreakCount="1">
    <brk id="59" max="4" man="1"/>
  </rowBreaks>
</worksheet>
</file>

<file path=xl/worksheets/sheet17.xml><?xml version="1.0" encoding="utf-8"?>
<worksheet xmlns="http://schemas.openxmlformats.org/spreadsheetml/2006/main" xmlns:r="http://schemas.openxmlformats.org/officeDocument/2006/relationships">
  <dimension ref="A1:H111"/>
  <sheetViews>
    <sheetView view="pageBreakPreview" topLeftCell="A98" zoomScale="90" zoomScaleSheetLayoutView="90" workbookViewId="0">
      <selection sqref="A1:XFD1048576"/>
    </sheetView>
  </sheetViews>
  <sheetFormatPr defaultRowHeight="15"/>
  <cols>
    <col min="1" max="1" width="8.28515625" customWidth="1"/>
    <col min="2" max="2" width="44.7109375" customWidth="1"/>
    <col min="3" max="3" width="21.140625" customWidth="1"/>
    <col min="4" max="4" width="18.140625" customWidth="1"/>
    <col min="5" max="5" width="15" style="388" customWidth="1"/>
    <col min="6" max="6" width="24" customWidth="1"/>
    <col min="7" max="7" width="22.140625" style="20" customWidth="1"/>
    <col min="8" max="8" width="34" customWidth="1"/>
  </cols>
  <sheetData>
    <row r="1" spans="1:8" ht="18" thickTop="1">
      <c r="A1" s="735" t="s">
        <v>30</v>
      </c>
      <c r="B1" s="736"/>
      <c r="C1" s="736"/>
      <c r="D1" s="736"/>
      <c r="E1" s="737"/>
    </row>
    <row r="2" spans="1:8" ht="17.25">
      <c r="A2" s="738" t="s">
        <v>163</v>
      </c>
      <c r="B2" s="739"/>
      <c r="C2" s="739"/>
      <c r="D2" s="739"/>
      <c r="E2" s="740"/>
    </row>
    <row r="3" spans="1:8" ht="17.25">
      <c r="A3" s="738" t="s">
        <v>187</v>
      </c>
      <c r="B3" s="739"/>
      <c r="C3" s="739"/>
      <c r="D3" s="739"/>
      <c r="E3" s="740"/>
    </row>
    <row r="4" spans="1:8">
      <c r="A4" s="18"/>
      <c r="B4" s="56" t="s">
        <v>40</v>
      </c>
      <c r="C4" s="416"/>
      <c r="D4" s="417"/>
      <c r="E4" s="383"/>
    </row>
    <row r="5" spans="1:8" ht="18.75" customHeight="1">
      <c r="A5" s="19" t="s">
        <v>43</v>
      </c>
      <c r="B5" s="56"/>
      <c r="C5" s="56" t="s">
        <v>155</v>
      </c>
      <c r="D5" s="58" t="s">
        <v>41</v>
      </c>
      <c r="E5" s="110" t="s">
        <v>68</v>
      </c>
      <c r="F5" s="38" t="s">
        <v>69</v>
      </c>
    </row>
    <row r="6" spans="1:8">
      <c r="A6" s="19">
        <v>1</v>
      </c>
      <c r="B6" s="24" t="str">
        <f>Details!B6</f>
        <v>Bank interest</v>
      </c>
      <c r="C6" s="4">
        <f>Details!P6</f>
        <v>0</v>
      </c>
      <c r="D6" s="35">
        <f>Details!V6</f>
        <v>528.69999999999993</v>
      </c>
      <c r="E6" s="384">
        <f>D6/F6</f>
        <v>0.88116666666666654</v>
      </c>
      <c r="F6" s="46">
        <f>Details!W6</f>
        <v>600</v>
      </c>
      <c r="G6" s="23">
        <v>3562684</v>
      </c>
      <c r="H6" s="2">
        <f>D6-G6</f>
        <v>-3562155.3</v>
      </c>
    </row>
    <row r="7" spans="1:8">
      <c r="A7" s="19">
        <v>2</v>
      </c>
      <c r="B7" s="24" t="str">
        <f>Details!B7</f>
        <v>Benevolence</v>
      </c>
      <c r="C7" s="4">
        <f>Details!P7</f>
        <v>0</v>
      </c>
      <c r="D7" s="35">
        <f>Details!V7</f>
        <v>121770</v>
      </c>
      <c r="E7" s="384">
        <f t="shared" ref="E7:E18" si="0">D7/F7</f>
        <v>0.81179999999999997</v>
      </c>
      <c r="F7" s="46">
        <f>Details!W7</f>
        <v>150000</v>
      </c>
      <c r="G7" s="23">
        <v>527310</v>
      </c>
    </row>
    <row r="8" spans="1:8">
      <c r="A8" s="19">
        <v>3</v>
      </c>
      <c r="B8" s="24" t="str">
        <f>Details!B8</f>
        <v>Building (cash and kind)</v>
      </c>
      <c r="C8" s="4">
        <f>Details!P8</f>
        <v>0</v>
      </c>
      <c r="D8" s="35">
        <f>Details!V8</f>
        <v>943800</v>
      </c>
      <c r="E8" s="384">
        <f t="shared" si="0"/>
        <v>0.47189999999999999</v>
      </c>
      <c r="F8" s="46">
        <f>Details!W8</f>
        <v>2000000</v>
      </c>
      <c r="G8" s="23">
        <v>147070</v>
      </c>
    </row>
    <row r="9" spans="1:8" ht="18.75" customHeight="1">
      <c r="A9" s="413">
        <v>4</v>
      </c>
      <c r="B9" s="414" t="str">
        <f>Details!B9</f>
        <v>Designated offering towards borehole</v>
      </c>
      <c r="C9" s="47">
        <f>Details!P9</f>
        <v>0</v>
      </c>
      <c r="D9" s="48">
        <f>Details!V9</f>
        <v>418000</v>
      </c>
      <c r="E9" s="384"/>
      <c r="F9" s="46">
        <f>Details!W9</f>
        <v>100000</v>
      </c>
      <c r="G9" s="23">
        <v>89590</v>
      </c>
    </row>
    <row r="10" spans="1:8">
      <c r="A10" s="19">
        <v>5</v>
      </c>
      <c r="B10" s="24" t="str">
        <f>Details!B10</f>
        <v>Designated offering towards Praise Festival</v>
      </c>
      <c r="C10" s="4">
        <f>Details!P10</f>
        <v>0</v>
      </c>
      <c r="D10" s="35">
        <f>Details!V10</f>
        <v>0</v>
      </c>
      <c r="E10" s="384"/>
      <c r="F10" s="46">
        <f>Details!W10</f>
        <v>0</v>
      </c>
      <c r="G10" s="23">
        <v>2200813</v>
      </c>
    </row>
    <row r="11" spans="1:8">
      <c r="A11" s="19">
        <v>6</v>
      </c>
      <c r="B11" s="24" t="str">
        <f>Details!B11</f>
        <v>Foreign Mission offering</v>
      </c>
      <c r="C11" s="4">
        <f>Details!P11</f>
        <v>0</v>
      </c>
      <c r="D11" s="35">
        <f>Details!V11</f>
        <v>0</v>
      </c>
      <c r="E11" s="384"/>
      <c r="F11" s="46">
        <f>Details!W11</f>
        <v>0</v>
      </c>
      <c r="G11" s="23">
        <v>73265</v>
      </c>
    </row>
    <row r="12" spans="1:8" ht="17.25" customHeight="1">
      <c r="A12" s="19">
        <v>7</v>
      </c>
      <c r="B12" s="26" t="str">
        <f>Details!B12</f>
        <v>Home Mission offering</v>
      </c>
      <c r="C12" s="4">
        <f>Details!P12</f>
        <v>0</v>
      </c>
      <c r="D12" s="35">
        <f>Details!V12</f>
        <v>100000</v>
      </c>
      <c r="E12" s="384"/>
      <c r="F12" s="46">
        <f>Details!W12</f>
        <v>300000</v>
      </c>
      <c r="G12" s="23">
        <v>0</v>
      </c>
    </row>
    <row r="13" spans="1:8">
      <c r="A13" s="19">
        <v>8</v>
      </c>
      <c r="B13" s="24" t="str">
        <f>Details!B14</f>
        <v>Designated - Teenagers' Church</v>
      </c>
      <c r="C13" s="4">
        <f>Details!P14</f>
        <v>0</v>
      </c>
      <c r="D13" s="35">
        <f>Details!V14</f>
        <v>0</v>
      </c>
      <c r="E13" s="384"/>
      <c r="F13" s="46">
        <f>Details!W14</f>
        <v>50000</v>
      </c>
      <c r="G13" s="23">
        <v>645.39</v>
      </c>
    </row>
    <row r="14" spans="1:8">
      <c r="A14" s="19">
        <v>9</v>
      </c>
      <c r="B14" s="24" t="str">
        <f>Details!B15</f>
        <v>Offering</v>
      </c>
      <c r="C14" s="4">
        <f>Details!P15</f>
        <v>0</v>
      </c>
      <c r="D14" s="35">
        <f>Details!V15</f>
        <v>598815</v>
      </c>
      <c r="E14" s="384">
        <f t="shared" si="0"/>
        <v>0.59881499999999999</v>
      </c>
      <c r="F14" s="46">
        <f>Details!W15</f>
        <v>1000000</v>
      </c>
      <c r="G14" s="23">
        <v>2000</v>
      </c>
    </row>
    <row r="15" spans="1:8">
      <c r="A15" s="19">
        <v>10</v>
      </c>
      <c r="B15" s="24" t="str">
        <f>Details!B16</f>
        <v xml:space="preserve">Sunday School </v>
      </c>
      <c r="C15" s="4">
        <f>Details!P16</f>
        <v>0</v>
      </c>
      <c r="D15" s="35">
        <f>Details!V16</f>
        <v>125430</v>
      </c>
      <c r="E15" s="384">
        <f t="shared" si="0"/>
        <v>0.73782352941176466</v>
      </c>
      <c r="F15" s="46">
        <f>Details!W16</f>
        <v>170000</v>
      </c>
      <c r="G15" s="23">
        <v>3000</v>
      </c>
    </row>
    <row r="16" spans="1:8">
      <c r="A16" s="19">
        <v>11</v>
      </c>
      <c r="B16" s="24" t="str">
        <f>Details!B17</f>
        <v>Thanksgiving</v>
      </c>
      <c r="C16" s="4">
        <f>Details!P17</f>
        <v>0</v>
      </c>
      <c r="D16" s="35">
        <f>Details!V17</f>
        <v>423875</v>
      </c>
      <c r="E16" s="384">
        <f t="shared" si="0"/>
        <v>1.0596874999999999</v>
      </c>
      <c r="F16" s="46">
        <f>Details!W17</f>
        <v>400000</v>
      </c>
      <c r="G16" s="23">
        <v>0</v>
      </c>
    </row>
    <row r="17" spans="1:7">
      <c r="A17" s="19">
        <v>12</v>
      </c>
      <c r="B17" s="24" t="str">
        <f>Details!B18</f>
        <v>Tithes</v>
      </c>
      <c r="C17" s="4">
        <f>Details!P18</f>
        <v>0</v>
      </c>
      <c r="D17" s="35">
        <f>Details!V18</f>
        <v>3607971</v>
      </c>
      <c r="E17" s="384">
        <f t="shared" si="0"/>
        <v>0.55507246153846157</v>
      </c>
      <c r="F17" s="46">
        <f>Details!W18</f>
        <v>6500000</v>
      </c>
      <c r="G17" s="23">
        <v>0</v>
      </c>
    </row>
    <row r="18" spans="1:7" s="9" customFormat="1">
      <c r="A18" s="158"/>
      <c r="B18" s="25" t="str">
        <f>Details!B19</f>
        <v>Total income this reporting period</v>
      </c>
      <c r="C18" s="7">
        <f>Details!P19</f>
        <v>0</v>
      </c>
      <c r="D18" s="50">
        <f>Details!V19</f>
        <v>6340189.7000000002</v>
      </c>
      <c r="E18" s="385">
        <f t="shared" si="0"/>
        <v>0.59417368282945671</v>
      </c>
      <c r="F18" s="46">
        <f>Details!W19</f>
        <v>10670600</v>
      </c>
      <c r="G18" s="523">
        <v>6606377.3899999997</v>
      </c>
    </row>
    <row r="19" spans="1:7" ht="30">
      <c r="A19" s="19"/>
      <c r="B19" s="115" t="str">
        <f>Details!B20</f>
        <v>B/F from previous month/quarter: First Bank of Nigeria</v>
      </c>
      <c r="C19" s="47">
        <f>Details!P20</f>
        <v>0</v>
      </c>
      <c r="D19" s="47">
        <f>Details!V20</f>
        <v>286762.07</v>
      </c>
      <c r="E19" s="384"/>
      <c r="F19" s="46">
        <f>Details!W20</f>
        <v>286762.07</v>
      </c>
      <c r="G19" s="23">
        <v>416870.12</v>
      </c>
    </row>
    <row r="20" spans="1:7">
      <c r="A20" s="19"/>
      <c r="B20" s="116" t="str">
        <f>Details!B21</f>
        <v xml:space="preserve">                               Randalapha MFB</v>
      </c>
      <c r="C20" s="4">
        <f>Details!P21</f>
        <v>0</v>
      </c>
      <c r="D20" s="47">
        <f>Details!V21</f>
        <v>16787.310000000001</v>
      </c>
      <c r="E20" s="384"/>
      <c r="F20" s="46">
        <f>Details!W21</f>
        <v>16787.310000000001</v>
      </c>
      <c r="G20" s="23">
        <v>29348.6</v>
      </c>
    </row>
    <row r="21" spans="1:7">
      <c r="A21" s="19"/>
      <c r="B21" s="116" t="str">
        <f>Details!B22</f>
        <v xml:space="preserve">                               Access Bank (Building fund)</v>
      </c>
      <c r="C21" s="4">
        <f>Details!P22</f>
        <v>0</v>
      </c>
      <c r="D21" s="47">
        <f>Details!V22</f>
        <v>1513424.07</v>
      </c>
      <c r="E21" s="384"/>
      <c r="F21" s="46">
        <f>Details!W22</f>
        <v>1513424.07</v>
      </c>
      <c r="G21" s="23">
        <v>35576</v>
      </c>
    </row>
    <row r="22" spans="1:7" ht="18.75" customHeight="1">
      <c r="A22" s="19"/>
      <c r="B22" s="390" t="str">
        <f>Details!B23</f>
        <v xml:space="preserve">                               Imprest Account (Cash on hand)</v>
      </c>
      <c r="C22" s="47">
        <f>Details!P23</f>
        <v>0</v>
      </c>
      <c r="D22" s="47">
        <f>Details!V23</f>
        <v>3000</v>
      </c>
      <c r="E22" s="384"/>
      <c r="F22" s="46">
        <f>Details!W23</f>
        <v>3000</v>
      </c>
      <c r="G22" s="23">
        <v>3000</v>
      </c>
    </row>
    <row r="23" spans="1:7">
      <c r="A23" s="19"/>
      <c r="B23" s="24" t="str">
        <f>Details!B24</f>
        <v>Total B/F from 2020 or last month or quarter</v>
      </c>
      <c r="C23" s="4">
        <f>Details!P24</f>
        <v>0</v>
      </c>
      <c r="D23" s="4">
        <f>Details!C24</f>
        <v>1819973.4500000002</v>
      </c>
      <c r="E23" s="384"/>
      <c r="F23" s="46">
        <f>Details!W24</f>
        <v>1819973.4500000002</v>
      </c>
      <c r="G23" s="23">
        <v>484794.72</v>
      </c>
    </row>
    <row r="24" spans="1:7">
      <c r="A24" s="19"/>
      <c r="B24" s="25" t="str">
        <f>Details!B25</f>
        <v>Total Income/Available cash</v>
      </c>
      <c r="C24" s="7">
        <f>Details!P25</f>
        <v>0</v>
      </c>
      <c r="D24" s="50">
        <f>SUM(D18:D22)</f>
        <v>8160163.1500000004</v>
      </c>
      <c r="E24" s="385">
        <f t="shared" ref="E24:E87" si="1">D24/F24</f>
        <v>0.65330572552695731</v>
      </c>
      <c r="F24" s="46">
        <f>Details!W25</f>
        <v>12490573.450000001</v>
      </c>
      <c r="G24" s="23">
        <v>7091172.1099999994</v>
      </c>
    </row>
    <row r="25" spans="1:7">
      <c r="A25" s="19"/>
      <c r="B25" s="25" t="str">
        <f>Details!B26</f>
        <v>EXPENDITURE</v>
      </c>
      <c r="C25" s="4"/>
      <c r="D25" s="35"/>
      <c r="E25" s="384"/>
      <c r="F25" s="46">
        <f>Details!W26</f>
        <v>0</v>
      </c>
      <c r="G25" s="23"/>
    </row>
    <row r="26" spans="1:7">
      <c r="A26" s="19"/>
      <c r="B26" s="25" t="str">
        <f>Details!B27</f>
        <v>A. CHURCH MINISTRIES</v>
      </c>
      <c r="C26" s="7">
        <f>Details!P27</f>
        <v>0</v>
      </c>
      <c r="D26" s="57">
        <f>Details!V27</f>
        <v>1016150</v>
      </c>
      <c r="E26" s="385">
        <f t="shared" si="1"/>
        <v>0.33730000663878379</v>
      </c>
      <c r="F26" s="46">
        <f>Details!W27</f>
        <v>3012600</v>
      </c>
      <c r="G26" s="23">
        <v>724900</v>
      </c>
    </row>
    <row r="27" spans="1:7">
      <c r="A27" s="19"/>
      <c r="B27" s="389" t="str">
        <f>Details!B28</f>
        <v>Benevolence</v>
      </c>
      <c r="C27" s="7">
        <f>Details!P28</f>
        <v>0</v>
      </c>
      <c r="D27" s="35">
        <f>Details!V28</f>
        <v>193940</v>
      </c>
      <c r="E27" s="384">
        <f t="shared" si="1"/>
        <v>0.543249299719888</v>
      </c>
      <c r="F27" s="46">
        <f>Details!W28</f>
        <v>357000</v>
      </c>
      <c r="G27" s="23"/>
    </row>
    <row r="28" spans="1:7">
      <c r="A28" s="19"/>
      <c r="B28" s="389" t="str">
        <f>Details!B29</f>
        <v>Childrens' Department</v>
      </c>
      <c r="C28" s="391">
        <f>Details!P29</f>
        <v>0</v>
      </c>
      <c r="D28" s="400">
        <f>Details!V29</f>
        <v>98380</v>
      </c>
      <c r="E28" s="401">
        <f t="shared" si="1"/>
        <v>0.37265151515151518</v>
      </c>
      <c r="F28" s="46">
        <f>Details!W29</f>
        <v>264000</v>
      </c>
      <c r="G28" s="23">
        <v>724900</v>
      </c>
    </row>
    <row r="29" spans="1:7">
      <c r="A29" s="19"/>
      <c r="B29" s="24" t="str">
        <f>Details!B30</f>
        <v>Church decorations</v>
      </c>
      <c r="C29" s="391">
        <f>Details!P30</f>
        <v>0</v>
      </c>
      <c r="D29" s="35">
        <f>Details!V30</f>
        <v>0</v>
      </c>
      <c r="E29" s="384">
        <f t="shared" si="1"/>
        <v>0</v>
      </c>
      <c r="F29" s="46">
        <f>Details!W30</f>
        <v>25000</v>
      </c>
      <c r="G29" s="23">
        <v>131400</v>
      </c>
    </row>
    <row r="30" spans="1:7">
      <c r="A30" s="19"/>
      <c r="B30" s="24" t="str">
        <f>Details!B31</f>
        <v>Church Maintenance</v>
      </c>
      <c r="C30" s="391">
        <f>Details!P31</f>
        <v>0</v>
      </c>
      <c r="D30" s="35">
        <f>Details!V31</f>
        <v>0</v>
      </c>
      <c r="E30" s="384">
        <f t="shared" si="1"/>
        <v>0</v>
      </c>
      <c r="F30" s="46">
        <f>Details!W31</f>
        <v>20000</v>
      </c>
      <c r="G30" s="23">
        <v>55700</v>
      </c>
    </row>
    <row r="31" spans="1:7">
      <c r="A31" s="19"/>
      <c r="B31" s="24" t="str">
        <f>Details!B33</f>
        <v>Discipleship Department</v>
      </c>
      <c r="C31" s="391">
        <f>Details!P33</f>
        <v>0</v>
      </c>
      <c r="D31" s="35">
        <f>Details!V33</f>
        <v>0</v>
      </c>
      <c r="E31" s="384">
        <f t="shared" si="1"/>
        <v>0</v>
      </c>
      <c r="F31" s="46">
        <f>Details!W33</f>
        <v>15000</v>
      </c>
      <c r="G31" s="23">
        <v>64750</v>
      </c>
    </row>
    <row r="32" spans="1:7">
      <c r="A32" s="19"/>
      <c r="B32" s="24" t="str">
        <f>Details!B34</f>
        <v>Drama Committee</v>
      </c>
      <c r="C32" s="391">
        <f>Details!P34</f>
        <v>0</v>
      </c>
      <c r="D32" s="35">
        <f>Details!V34</f>
        <v>10000</v>
      </c>
      <c r="E32" s="384">
        <f t="shared" si="1"/>
        <v>0.2857142857142857</v>
      </c>
      <c r="F32" s="46">
        <f>Details!W34</f>
        <v>35000</v>
      </c>
      <c r="G32" s="23">
        <v>48460</v>
      </c>
    </row>
    <row r="33" spans="1:7">
      <c r="A33" s="19"/>
      <c r="B33" s="24" t="str">
        <f>Details!B35</f>
        <v>End of year outreach - Heaven's Link Praise Festival</v>
      </c>
      <c r="C33" s="391">
        <f>Details!P35</f>
        <v>0</v>
      </c>
      <c r="D33" s="35">
        <f>Details!V35</f>
        <v>0</v>
      </c>
      <c r="E33" s="384">
        <f t="shared" si="1"/>
        <v>0</v>
      </c>
      <c r="F33" s="344">
        <f>Details!W35</f>
        <v>130000</v>
      </c>
      <c r="G33" s="23">
        <v>2000</v>
      </c>
    </row>
    <row r="34" spans="1:7">
      <c r="A34" s="19"/>
      <c r="B34" s="24" t="str">
        <f>Details!B36</f>
        <v>Evangelism Committee</v>
      </c>
      <c r="C34" s="391">
        <f>Details!P36</f>
        <v>0</v>
      </c>
      <c r="D34" s="35">
        <f>Details!V36</f>
        <v>256400</v>
      </c>
      <c r="E34" s="384">
        <f t="shared" si="1"/>
        <v>0.51280000000000003</v>
      </c>
      <c r="F34" s="46">
        <f>Details!W36</f>
        <v>500000</v>
      </c>
      <c r="G34" s="23">
        <v>0</v>
      </c>
    </row>
    <row r="35" spans="1:7" hidden="1">
      <c r="A35" s="19"/>
      <c r="B35" s="24" t="str">
        <f>Details!B37</f>
        <v>Exemplary Youth Award</v>
      </c>
      <c r="C35" s="391">
        <f>Details!P37</f>
        <v>0</v>
      </c>
      <c r="D35" s="35">
        <f>Details!V37</f>
        <v>0</v>
      </c>
      <c r="E35" s="384">
        <f t="shared" si="1"/>
        <v>0</v>
      </c>
      <c r="F35" s="46">
        <f>Details!W37</f>
        <v>75000</v>
      </c>
      <c r="G35" s="23">
        <v>38250</v>
      </c>
    </row>
    <row r="36" spans="1:7">
      <c r="A36" s="19"/>
      <c r="B36" s="24" t="str">
        <f>Details!B38</f>
        <v>External Affairs</v>
      </c>
      <c r="C36" s="391">
        <f>Details!P38</f>
        <v>0</v>
      </c>
      <c r="D36" s="35">
        <f>Details!V38</f>
        <v>36940</v>
      </c>
      <c r="E36" s="384">
        <f t="shared" si="1"/>
        <v>0.97210526315789469</v>
      </c>
      <c r="F36" s="46">
        <f>Details!W38</f>
        <v>38000</v>
      </c>
      <c r="G36" s="23">
        <v>41400</v>
      </c>
    </row>
    <row r="37" spans="1:7">
      <c r="A37" s="19"/>
      <c r="B37" s="24" t="str">
        <f>Details!B39</f>
        <v>Health Committee</v>
      </c>
      <c r="C37" s="391">
        <f>Details!P39</f>
        <v>0</v>
      </c>
      <c r="D37" s="35">
        <f>Details!V39</f>
        <v>3200</v>
      </c>
      <c r="E37" s="384">
        <f t="shared" si="1"/>
        <v>9.2753623188405798E-2</v>
      </c>
      <c r="F37" s="46">
        <f>Details!W39</f>
        <v>34500</v>
      </c>
      <c r="G37" s="23">
        <v>62000</v>
      </c>
    </row>
    <row r="38" spans="1:7">
      <c r="A38" s="19"/>
      <c r="B38" s="24" t="str">
        <f>Details!B40</f>
        <v>Hospitality Committee</v>
      </c>
      <c r="C38" s="391">
        <f>Details!P40</f>
        <v>0</v>
      </c>
      <c r="D38" s="35">
        <f>Details!V40</f>
        <v>21990</v>
      </c>
      <c r="E38" s="384">
        <f t="shared" si="1"/>
        <v>8.3675799086757985E-2</v>
      </c>
      <c r="F38" s="46">
        <f>Details!W40</f>
        <v>262800</v>
      </c>
      <c r="G38" s="23">
        <v>0</v>
      </c>
    </row>
    <row r="39" spans="1:7">
      <c r="A39" s="19"/>
      <c r="B39" s="24" t="str">
        <f>Details!B41</f>
        <v>Media/Sound Unit</v>
      </c>
      <c r="C39" s="391">
        <f>Details!P41</f>
        <v>0</v>
      </c>
      <c r="D39" s="35">
        <f>Details!V41</f>
        <v>46400</v>
      </c>
      <c r="E39" s="384">
        <f t="shared" si="1"/>
        <v>0.30933333333333335</v>
      </c>
      <c r="F39" s="46">
        <f>Details!W41</f>
        <v>150000</v>
      </c>
      <c r="G39" s="23">
        <v>3400</v>
      </c>
    </row>
    <row r="40" spans="1:7">
      <c r="A40" s="19"/>
      <c r="B40" s="24" t="str">
        <f>Details!B42</f>
        <v>MMU</v>
      </c>
      <c r="C40" s="391">
        <f>Details!P42</f>
        <v>0</v>
      </c>
      <c r="D40" s="35">
        <f>Details!V42</f>
        <v>600</v>
      </c>
      <c r="E40" s="384">
        <f t="shared" si="1"/>
        <v>1.2E-2</v>
      </c>
      <c r="F40" s="46">
        <f>Details!W42</f>
        <v>50000</v>
      </c>
      <c r="G40" s="23">
        <v>138140</v>
      </c>
    </row>
    <row r="41" spans="1:7">
      <c r="A41" s="19"/>
      <c r="B41" s="24" t="str">
        <f>Details!B43</f>
        <v>Music Department</v>
      </c>
      <c r="C41" s="391">
        <f>Details!P43</f>
        <v>0</v>
      </c>
      <c r="D41" s="35">
        <f>Details!V43</f>
        <v>49000</v>
      </c>
      <c r="E41" s="384">
        <f t="shared" si="1"/>
        <v>0.17437722419928825</v>
      </c>
      <c r="F41" s="46">
        <f>Details!W43</f>
        <v>281000</v>
      </c>
      <c r="G41" s="23">
        <v>0</v>
      </c>
    </row>
    <row r="42" spans="1:7" hidden="1">
      <c r="A42" s="19"/>
      <c r="B42" s="24" t="str">
        <f>Details!B44</f>
        <v>Nominating</v>
      </c>
      <c r="C42" s="391">
        <f>Details!P44</f>
        <v>0</v>
      </c>
      <c r="D42" s="35">
        <f>Details!V44</f>
        <v>0</v>
      </c>
      <c r="E42" s="384" t="e">
        <f t="shared" si="1"/>
        <v>#DIV/0!</v>
      </c>
      <c r="F42" s="46">
        <f>Details!W44</f>
        <v>0</v>
      </c>
      <c r="G42" s="23">
        <v>25000</v>
      </c>
    </row>
    <row r="43" spans="1:7">
      <c r="A43" s="19"/>
      <c r="B43" s="24" t="str">
        <f>Details!B45</f>
        <v>Property Committee</v>
      </c>
      <c r="C43" s="391">
        <f>Details!P45</f>
        <v>0</v>
      </c>
      <c r="D43" s="35">
        <f>Details!V45</f>
        <v>6000</v>
      </c>
      <c r="E43" s="384">
        <f t="shared" si="1"/>
        <v>0.03</v>
      </c>
      <c r="F43" s="46">
        <f>Details!W45</f>
        <v>200000</v>
      </c>
      <c r="G43" s="23">
        <v>0</v>
      </c>
    </row>
    <row r="44" spans="1:7">
      <c r="A44" s="19"/>
      <c r="B44" s="24" t="str">
        <f>Details!B46</f>
        <v>Personnel</v>
      </c>
      <c r="C44" s="391">
        <f>Details!P46</f>
        <v>0</v>
      </c>
      <c r="D44" s="35">
        <f>Details!V46</f>
        <v>0</v>
      </c>
      <c r="E44" s="384"/>
      <c r="F44" s="46">
        <f>Details!W46</f>
        <v>0</v>
      </c>
      <c r="G44" s="23">
        <v>0</v>
      </c>
    </row>
    <row r="45" spans="1:7">
      <c r="A45" s="19"/>
      <c r="B45" s="24" t="str">
        <f>Details!B47</f>
        <v>Sanctuary supplies</v>
      </c>
      <c r="C45" s="391">
        <f>Details!P47</f>
        <v>0</v>
      </c>
      <c r="D45" s="35">
        <f>Details!V47</f>
        <v>75500</v>
      </c>
      <c r="E45" s="384">
        <f t="shared" si="1"/>
        <v>0.25166666666666665</v>
      </c>
      <c r="F45" s="46">
        <f>Details!W47</f>
        <v>300000</v>
      </c>
      <c r="G45" s="23">
        <v>0</v>
      </c>
    </row>
    <row r="46" spans="1:7" hidden="1">
      <c r="A46" s="19"/>
      <c r="B46" s="24" t="str">
        <f>Details!B48</f>
        <v>Stewardship</v>
      </c>
      <c r="C46" s="391">
        <f>Details!P48</f>
        <v>0</v>
      </c>
      <c r="D46" s="35">
        <f>Details!V48</f>
        <v>0</v>
      </c>
      <c r="E46" s="384">
        <f t="shared" si="1"/>
        <v>0</v>
      </c>
      <c r="F46" s="46">
        <f>Details!W48</f>
        <v>10000</v>
      </c>
      <c r="G46" s="23">
        <v>10000</v>
      </c>
    </row>
    <row r="47" spans="1:7">
      <c r="A47" s="19"/>
      <c r="B47" s="24" t="str">
        <f>Details!B49</f>
        <v xml:space="preserve">Sunday School </v>
      </c>
      <c r="C47" s="391">
        <f>Details!P49</f>
        <v>0</v>
      </c>
      <c r="D47" s="35">
        <f>Details!V49</f>
        <v>31400</v>
      </c>
      <c r="E47" s="384">
        <f t="shared" si="1"/>
        <v>0.8306878306878307</v>
      </c>
      <c r="F47" s="46">
        <f>Details!W49</f>
        <v>37800</v>
      </c>
      <c r="G47" s="23">
        <v>5000</v>
      </c>
    </row>
    <row r="48" spans="1:7" hidden="1">
      <c r="A48" s="19"/>
      <c r="B48" s="24" t="str">
        <f>Details!B50</f>
        <v>Ushers Committee</v>
      </c>
      <c r="C48" s="391">
        <f>Details!P50</f>
        <v>0</v>
      </c>
      <c r="D48" s="35">
        <f>Details!V50</f>
        <v>2500</v>
      </c>
      <c r="E48" s="384">
        <f t="shared" si="1"/>
        <v>0.3125</v>
      </c>
      <c r="F48" s="46">
        <f>Details!W50</f>
        <v>8000</v>
      </c>
      <c r="G48" s="23">
        <v>0</v>
      </c>
    </row>
    <row r="49" spans="1:7">
      <c r="A49" s="19"/>
      <c r="B49" s="24" t="str">
        <f>Details!B51</f>
        <v>Visitation Committee</v>
      </c>
      <c r="C49" s="391">
        <f>Details!P51</f>
        <v>0</v>
      </c>
      <c r="D49" s="35">
        <f>Details!V51</f>
        <v>7500</v>
      </c>
      <c r="E49" s="384">
        <f t="shared" si="1"/>
        <v>0.46875</v>
      </c>
      <c r="F49" s="46">
        <f>Details!W51</f>
        <v>16000</v>
      </c>
      <c r="G49" s="23">
        <v>99400</v>
      </c>
    </row>
    <row r="50" spans="1:7" s="399" customFormat="1">
      <c r="A50" s="392"/>
      <c r="B50" s="389" t="str">
        <f>Details!B52</f>
        <v>WMU</v>
      </c>
      <c r="C50" s="391">
        <f>Details!P52</f>
        <v>0</v>
      </c>
      <c r="D50" s="400">
        <f>Details!V52</f>
        <v>48000</v>
      </c>
      <c r="E50" s="401">
        <f t="shared" si="1"/>
        <v>0.59627329192546585</v>
      </c>
      <c r="F50" s="397">
        <f>Details!W52</f>
        <v>80500</v>
      </c>
      <c r="G50" s="524">
        <v>1002134.8</v>
      </c>
    </row>
    <row r="51" spans="1:7">
      <c r="A51" s="19"/>
      <c r="B51" s="24" t="str">
        <f>Details!B53</f>
        <v>Youth Fellowship</v>
      </c>
      <c r="C51" s="391">
        <f>Details!P53</f>
        <v>0</v>
      </c>
      <c r="D51" s="35">
        <f>Details!V53</f>
        <v>94000</v>
      </c>
      <c r="E51" s="384">
        <f t="shared" si="1"/>
        <v>1.1325301204819278</v>
      </c>
      <c r="F51" s="46">
        <f>Details!W53</f>
        <v>83000</v>
      </c>
      <c r="G51" s="23">
        <v>645534.80000000005</v>
      </c>
    </row>
    <row r="52" spans="1:7">
      <c r="A52" s="19"/>
      <c r="B52" s="24" t="str">
        <f>Details!B54</f>
        <v>Teenagers</v>
      </c>
      <c r="C52" s="391">
        <f>Details!P54</f>
        <v>0</v>
      </c>
      <c r="D52" s="35">
        <f>Details!V54</f>
        <v>34400</v>
      </c>
      <c r="E52" s="384">
        <f>D52/F52</f>
        <v>1.72</v>
      </c>
      <c r="F52" s="46">
        <f>Details!W54</f>
        <v>20000</v>
      </c>
      <c r="G52" s="23">
        <v>220000</v>
      </c>
    </row>
    <row r="53" spans="1:7" hidden="1">
      <c r="A53" s="19"/>
      <c r="B53" s="24"/>
      <c r="C53" s="391"/>
      <c r="D53" s="35"/>
      <c r="E53" s="384"/>
      <c r="F53" s="46"/>
      <c r="G53" s="23"/>
    </row>
    <row r="54" spans="1:7" hidden="1">
      <c r="A54" s="19"/>
      <c r="B54" s="24">
        <f>Details!B56</f>
        <v>0</v>
      </c>
      <c r="C54" s="391">
        <f>Details!P56</f>
        <v>0</v>
      </c>
      <c r="D54" s="35">
        <f>Details!V56</f>
        <v>0</v>
      </c>
      <c r="E54" s="384" t="e">
        <f>D54/F54</f>
        <v>#DIV/0!</v>
      </c>
      <c r="F54" s="46"/>
      <c r="G54" s="23"/>
    </row>
    <row r="55" spans="1:7">
      <c r="A55" s="19"/>
      <c r="B55" s="25" t="str">
        <f>Details!B57</f>
        <v>B. CHURCH STAFF</v>
      </c>
      <c r="C55" s="7">
        <f>Details!P57</f>
        <v>0</v>
      </c>
      <c r="D55" s="50">
        <f>Details!V57</f>
        <v>1295169.53</v>
      </c>
      <c r="E55" s="385">
        <f t="shared" si="1"/>
        <v>0.44663907568641337</v>
      </c>
      <c r="F55" s="46">
        <f>Details!W57</f>
        <v>2899812.4</v>
      </c>
      <c r="G55" s="23">
        <v>881297.02</v>
      </c>
    </row>
    <row r="56" spans="1:7">
      <c r="A56" s="19"/>
      <c r="B56" s="24" t="str">
        <f>Details!B58</f>
        <v>Church Pastor (salaries and allowances)</v>
      </c>
      <c r="C56" s="4">
        <f>Details!P58</f>
        <v>0</v>
      </c>
      <c r="D56" s="35">
        <f>Details!V58</f>
        <v>674440.77</v>
      </c>
      <c r="E56" s="384">
        <f t="shared" si="1"/>
        <v>0.41245127227746647</v>
      </c>
      <c r="F56" s="46">
        <f>Details!W58</f>
        <v>1635201.09</v>
      </c>
      <c r="G56" s="23">
        <v>128850</v>
      </c>
    </row>
    <row r="57" spans="1:7" ht="15" customHeight="1">
      <c r="A57" s="19"/>
      <c r="B57" s="26" t="str">
        <f>Details!B59</f>
        <v>Other Pastors</v>
      </c>
      <c r="C57" s="4">
        <f>Details!P59</f>
        <v>0</v>
      </c>
      <c r="D57" s="35">
        <f>Details!V59</f>
        <v>418634</v>
      </c>
      <c r="E57" s="384">
        <f t="shared" si="1"/>
        <v>0.52991645569620249</v>
      </c>
      <c r="F57" s="46">
        <f>Details!W59</f>
        <v>790000</v>
      </c>
      <c r="G57" s="23">
        <v>12847.02</v>
      </c>
    </row>
    <row r="58" spans="1:7">
      <c r="A58" s="19"/>
      <c r="B58" s="24" t="str">
        <f>Details!B60</f>
        <v>Janitor</v>
      </c>
      <c r="C58" s="4">
        <f>Details!P60</f>
        <v>0</v>
      </c>
      <c r="D58" s="35">
        <f>Details!V60</f>
        <v>202094.76</v>
      </c>
      <c r="E58" s="384">
        <f t="shared" si="1"/>
        <v>0.42581109160672975</v>
      </c>
      <c r="F58" s="46">
        <f>Details!W60</f>
        <v>474611.31</v>
      </c>
      <c r="G58" s="23">
        <v>26800</v>
      </c>
    </row>
    <row r="59" spans="1:7">
      <c r="A59" s="19"/>
      <c r="B59" s="24" t="str">
        <f>Details!B61</f>
        <v>Appreciation service for Pastor</v>
      </c>
      <c r="C59" s="4">
        <f>Details!P61</f>
        <v>0</v>
      </c>
      <c r="D59" s="35">
        <f>Details!V61</f>
        <v>0</v>
      </c>
      <c r="E59" s="384">
        <f>D59/F59</f>
        <v>0</v>
      </c>
      <c r="F59" s="345">
        <v>500000</v>
      </c>
      <c r="G59" s="23">
        <v>21870</v>
      </c>
    </row>
    <row r="60" spans="1:7" s="9" customFormat="1">
      <c r="A60" s="158"/>
      <c r="B60" s="27" t="str">
        <f>Details!B62</f>
        <v>C. OPERATION COSTS</v>
      </c>
      <c r="C60" s="57">
        <f>Details!P62</f>
        <v>0</v>
      </c>
      <c r="D60" s="63">
        <f>Details!V62</f>
        <v>829740.71924999997</v>
      </c>
      <c r="E60" s="387">
        <f t="shared" si="1"/>
        <v>0.77647456414935423</v>
      </c>
      <c r="F60" s="261">
        <f>Details!W62</f>
        <v>1068600</v>
      </c>
      <c r="G60" s="523">
        <v>16530</v>
      </c>
    </row>
    <row r="61" spans="1:7">
      <c r="A61" s="19"/>
      <c r="B61" s="24" t="str">
        <f>Details!B64</f>
        <v xml:space="preserve">Bank charges: sms, maintenance, VAT etc. </v>
      </c>
      <c r="C61" s="4">
        <f>Details!P64</f>
        <v>0</v>
      </c>
      <c r="D61" s="35">
        <f>Details!V64</f>
        <v>15220.720000000001</v>
      </c>
      <c r="E61" s="384">
        <f t="shared" si="1"/>
        <v>0.69185090909090918</v>
      </c>
      <c r="F61" s="345">
        <f>Details!W64</f>
        <v>22000</v>
      </c>
      <c r="G61" s="23">
        <v>0</v>
      </c>
    </row>
    <row r="62" spans="1:7">
      <c r="A62" s="19"/>
      <c r="B62" s="24" t="str">
        <f>Details!B65</f>
        <v>Church Council refreshments</v>
      </c>
      <c r="C62" s="4">
        <f>Details!P65</f>
        <v>0</v>
      </c>
      <c r="D62" s="35">
        <f>Details!V65</f>
        <v>8000</v>
      </c>
      <c r="E62" s="384">
        <f t="shared" si="1"/>
        <v>0.33333333333333331</v>
      </c>
      <c r="F62" s="46">
        <f>Details!W65</f>
        <v>24000</v>
      </c>
      <c r="G62" s="23">
        <v>45100</v>
      </c>
    </row>
    <row r="63" spans="1:7">
      <c r="A63" s="19"/>
      <c r="B63" s="24" t="str">
        <f>Details!B66</f>
        <v>Church secreteriat</v>
      </c>
      <c r="C63" s="4">
        <f>Details!P66</f>
        <v>0</v>
      </c>
      <c r="D63" s="35">
        <f>Details!V66</f>
        <v>55470</v>
      </c>
      <c r="E63" s="384">
        <f t="shared" si="1"/>
        <v>0.92449999999999999</v>
      </c>
      <c r="F63" s="46">
        <f>Details!W66</f>
        <v>60000</v>
      </c>
      <c r="G63" s="23">
        <v>11000</v>
      </c>
    </row>
    <row r="64" spans="1:7">
      <c r="A64" s="19"/>
      <c r="B64" s="24" t="str">
        <f>Details!B67</f>
        <v>Convention session</v>
      </c>
      <c r="C64" s="4">
        <f>Details!P67</f>
        <v>0</v>
      </c>
      <c r="D64" s="35">
        <f>Details!V67</f>
        <v>122500</v>
      </c>
      <c r="E64" s="384">
        <f t="shared" si="1"/>
        <v>6.125</v>
      </c>
      <c r="F64" s="46">
        <f>Details!W67</f>
        <v>20000</v>
      </c>
      <c r="G64" s="23">
        <v>0</v>
      </c>
    </row>
    <row r="65" spans="1:7">
      <c r="A65" s="19"/>
      <c r="B65" s="24" t="str">
        <f>Details!B68</f>
        <v>Electricity - church auditorium</v>
      </c>
      <c r="C65" s="4">
        <f>Details!P68</f>
        <v>0</v>
      </c>
      <c r="D65" s="35">
        <f>Details!V68</f>
        <v>20000</v>
      </c>
      <c r="E65" s="384">
        <f t="shared" si="1"/>
        <v>0.625</v>
      </c>
      <c r="F65" s="46">
        <f>Details!W68</f>
        <v>32000</v>
      </c>
      <c r="G65" s="23">
        <v>207800</v>
      </c>
    </row>
    <row r="66" spans="1:7">
      <c r="A66" s="19"/>
      <c r="B66" s="24" t="str">
        <f>Details!B69</f>
        <v>Electricity - Pastorium</v>
      </c>
      <c r="C66" s="4">
        <f>Details!P69</f>
        <v>0</v>
      </c>
      <c r="D66" s="35">
        <f>Details!V69</f>
        <v>10000</v>
      </c>
      <c r="E66" s="384">
        <f t="shared" si="1"/>
        <v>0.20833333333333334</v>
      </c>
      <c r="F66" s="46">
        <f>Details!W69</f>
        <v>48000</v>
      </c>
      <c r="G66" s="23">
        <v>20000</v>
      </c>
    </row>
    <row r="67" spans="1:7" ht="30">
      <c r="A67" s="19"/>
      <c r="B67" s="26" t="str">
        <f>Details!B70</f>
        <v>Generators - fuel and maintenance church auditorium</v>
      </c>
      <c r="C67" s="47">
        <f>Details!P70</f>
        <v>0</v>
      </c>
      <c r="D67" s="48">
        <f>Details!V70</f>
        <v>136849.99924999999</v>
      </c>
      <c r="E67" s="386">
        <f t="shared" si="1"/>
        <v>0.51479269803888994</v>
      </c>
      <c r="F67" s="345">
        <f>Details!W70</f>
        <v>265835.15999999997</v>
      </c>
      <c r="G67" s="23">
        <v>10000</v>
      </c>
    </row>
    <row r="68" spans="1:7" ht="22.5" customHeight="1">
      <c r="A68" s="19"/>
      <c r="B68" s="414" t="str">
        <f>Details!B71</f>
        <v>Generators - fuel and maintenance pastorium</v>
      </c>
      <c r="C68" s="47">
        <f>Details!P71</f>
        <v>0</v>
      </c>
      <c r="D68" s="48">
        <f>Details!V71</f>
        <v>99900</v>
      </c>
      <c r="E68" s="386">
        <f t="shared" si="1"/>
        <v>0.90191075074003635</v>
      </c>
      <c r="F68" s="46">
        <f>Details!W71</f>
        <v>110764.84</v>
      </c>
      <c r="G68" s="23">
        <v>95700</v>
      </c>
    </row>
    <row r="69" spans="1:7" hidden="1">
      <c r="A69" s="19"/>
      <c r="B69" s="26" t="str">
        <f>Details!B72</f>
        <v>Keep fit instructor</v>
      </c>
      <c r="C69" s="4">
        <f>Details!P72</f>
        <v>0</v>
      </c>
      <c r="D69" s="35">
        <f>Details!V72</f>
        <v>0</v>
      </c>
      <c r="E69" s="384" t="e">
        <f t="shared" si="1"/>
        <v>#DIV/0!</v>
      </c>
      <c r="F69" s="46">
        <f>Details!W72</f>
        <v>0</v>
      </c>
      <c r="G69" s="23">
        <v>68250</v>
      </c>
    </row>
    <row r="70" spans="1:7" ht="17.25" customHeight="1">
      <c r="A70" s="19"/>
      <c r="B70" s="24" t="str">
        <f>Details!B73</f>
        <v xml:space="preserve">Ministers' Conference </v>
      </c>
      <c r="C70" s="4">
        <f>Details!P73</f>
        <v>0</v>
      </c>
      <c r="D70" s="35">
        <f>Details!V73</f>
        <v>0</v>
      </c>
      <c r="E70" s="384">
        <f t="shared" si="1"/>
        <v>0</v>
      </c>
      <c r="F70" s="46">
        <f>Details!W73</f>
        <v>6000</v>
      </c>
      <c r="G70" s="23">
        <v>16000</v>
      </c>
    </row>
    <row r="71" spans="1:7" ht="47.25" customHeight="1">
      <c r="A71" s="19"/>
      <c r="B71" s="157" t="str">
        <f>Details!B74</f>
        <v>Miscellanous (transport for CAN Minister, honorarium for supervisor)</v>
      </c>
      <c r="C71" s="47">
        <f>Details!P74</f>
        <v>0</v>
      </c>
      <c r="D71" s="48">
        <f>Details!V74</f>
        <v>18000</v>
      </c>
      <c r="E71" s="386">
        <f t="shared" si="1"/>
        <v>0.36</v>
      </c>
      <c r="F71" s="46">
        <f>Details!W74</f>
        <v>50000</v>
      </c>
      <c r="G71" s="23">
        <v>200550</v>
      </c>
    </row>
    <row r="72" spans="1:7">
      <c r="A72" s="19"/>
      <c r="B72" s="24" t="str">
        <f>Details!B75</f>
        <v>Motorcycle</v>
      </c>
      <c r="C72" s="4">
        <f>Details!P75</f>
        <v>0</v>
      </c>
      <c r="D72" s="35">
        <f>Details!V75</f>
        <v>3800</v>
      </c>
      <c r="E72" s="384" t="e">
        <f t="shared" si="1"/>
        <v>#DIV/0!</v>
      </c>
      <c r="F72" s="46">
        <f>Details!W75</f>
        <v>0</v>
      </c>
      <c r="G72" s="23"/>
    </row>
    <row r="73" spans="1:7" s="399" customFormat="1" ht="18" customHeight="1">
      <c r="A73" s="392"/>
      <c r="B73" s="393" t="str">
        <f>Details!B76</f>
        <v>Ogbomoso Conference</v>
      </c>
      <c r="C73" s="394">
        <f>Details!P76</f>
        <v>0</v>
      </c>
      <c r="D73" s="395">
        <f>Details!V76</f>
        <v>0</v>
      </c>
      <c r="E73" s="396">
        <f t="shared" si="1"/>
        <v>0</v>
      </c>
      <c r="F73" s="46">
        <f>Details!W76</f>
        <v>25000</v>
      </c>
      <c r="G73" s="524">
        <v>1566448</v>
      </c>
    </row>
    <row r="74" spans="1:7">
      <c r="A74" s="19"/>
      <c r="B74" s="24" t="str">
        <f>Details!B77</f>
        <v xml:space="preserve">Pastorium rent &amp; maintenance </v>
      </c>
      <c r="C74" s="4">
        <f>Details!P77</f>
        <v>0</v>
      </c>
      <c r="D74" s="35">
        <f>Details!V77</f>
        <v>0</v>
      </c>
      <c r="E74" s="384">
        <f t="shared" si="1"/>
        <v>0</v>
      </c>
      <c r="F74" s="46">
        <f>Details!W77</f>
        <v>150000</v>
      </c>
      <c r="G74" s="23">
        <v>1207480</v>
      </c>
    </row>
    <row r="75" spans="1:7">
      <c r="A75" s="19"/>
      <c r="B75" s="24" t="str">
        <f>Details!B78</f>
        <v>Pastors Wives' retreat</v>
      </c>
      <c r="C75" s="4">
        <f>Details!P78</f>
        <v>0</v>
      </c>
      <c r="D75" s="35">
        <f>Details!V78</f>
        <v>0</v>
      </c>
      <c r="E75" s="384">
        <f t="shared" si="1"/>
        <v>0</v>
      </c>
      <c r="F75" s="46">
        <f>Details!W78</f>
        <v>5000</v>
      </c>
      <c r="G75" s="23">
        <v>1468</v>
      </c>
    </row>
    <row r="76" spans="1:7" ht="31.5" customHeight="1">
      <c r="A76" s="19"/>
      <c r="B76" s="414" t="str">
        <f>Details!B79</f>
        <v>Workers' retreat organized by the church</v>
      </c>
      <c r="C76" s="47">
        <f>Details!P79</f>
        <v>0</v>
      </c>
      <c r="D76" s="48">
        <f>Details!V79</f>
        <v>40000</v>
      </c>
      <c r="E76" s="384"/>
      <c r="F76" s="46">
        <f>Details!W79</f>
        <v>50000</v>
      </c>
      <c r="G76" s="23">
        <v>0</v>
      </c>
    </row>
    <row r="77" spans="1:7" hidden="1">
      <c r="A77" s="19"/>
      <c r="B77" s="24"/>
      <c r="C77" s="4"/>
      <c r="D77" s="35"/>
      <c r="E77" s="384"/>
      <c r="F77" s="46"/>
      <c r="G77" s="23">
        <v>7500</v>
      </c>
    </row>
    <row r="78" spans="1:7">
      <c r="A78" s="19"/>
      <c r="B78" s="27" t="str">
        <f>Details!B81</f>
        <v>D. NEW AUDITORIUM &amp; OTHER PROJECTS</v>
      </c>
      <c r="C78" s="57">
        <f>Details!P81</f>
        <v>0</v>
      </c>
      <c r="D78" s="63">
        <f>Details!V81</f>
        <v>3855996.88</v>
      </c>
      <c r="E78" s="385">
        <f t="shared" si="1"/>
        <v>0.92870830443159924</v>
      </c>
      <c r="F78" s="345">
        <f>Details!W81</f>
        <v>4152000</v>
      </c>
      <c r="G78" s="23">
        <v>50000</v>
      </c>
    </row>
    <row r="79" spans="1:7">
      <c r="A79" s="19"/>
      <c r="B79" s="24" t="str">
        <f>Details!B82</f>
        <v>Bank charges - Access bank</v>
      </c>
      <c r="C79" s="4">
        <f>Details!P82</f>
        <v>0</v>
      </c>
      <c r="D79" s="35">
        <f>Details!V82</f>
        <v>4666.88</v>
      </c>
      <c r="E79" s="384">
        <f t="shared" si="1"/>
        <v>2.33344</v>
      </c>
      <c r="F79" s="46">
        <f>Details!W82</f>
        <v>2000</v>
      </c>
      <c r="G79" s="23">
        <v>300000</v>
      </c>
    </row>
    <row r="80" spans="1:7" hidden="1">
      <c r="A80" s="19"/>
      <c r="B80" s="24" t="str">
        <f>Details!B83</f>
        <v>Borehole</v>
      </c>
      <c r="C80" s="4">
        <f>Details!P83</f>
        <v>0</v>
      </c>
      <c r="D80" s="35">
        <f>Details!V83</f>
        <v>561230</v>
      </c>
      <c r="E80" s="384">
        <f t="shared" si="1"/>
        <v>0.86343076923076922</v>
      </c>
      <c r="F80" s="46">
        <f>Details!W83</f>
        <v>650000</v>
      </c>
      <c r="G80" s="23"/>
    </row>
    <row r="81" spans="1:7" s="399" customFormat="1" hidden="1">
      <c r="A81" s="392"/>
      <c r="B81" s="389" t="str">
        <f>Details!B84</f>
        <v>Development loan refund</v>
      </c>
      <c r="C81" s="391">
        <f>Details!P84</f>
        <v>0</v>
      </c>
      <c r="D81" s="400">
        <f>Details!V84</f>
        <v>0</v>
      </c>
      <c r="E81" s="401" t="e">
        <f t="shared" si="1"/>
        <v>#DIV/0!</v>
      </c>
      <c r="F81" s="46">
        <f>Details!W84</f>
        <v>0</v>
      </c>
      <c r="G81" s="524">
        <v>1251481.5</v>
      </c>
    </row>
    <row r="82" spans="1:7">
      <c r="A82" s="19"/>
      <c r="B82" s="26" t="str">
        <f>Details!B85</f>
        <v>Gift-in-kind towards church auditorium</v>
      </c>
      <c r="C82" s="47">
        <f>Details!P85</f>
        <v>0</v>
      </c>
      <c r="D82" s="48">
        <f>Details!V85</f>
        <v>20800</v>
      </c>
      <c r="E82" s="386"/>
      <c r="F82" s="46">
        <f>Details!W85</f>
        <v>0</v>
      </c>
      <c r="G82" s="23">
        <v>834321</v>
      </c>
    </row>
    <row r="83" spans="1:7" ht="30">
      <c r="A83" s="19"/>
      <c r="B83" s="26" t="str">
        <f>Details!B86</f>
        <v>New  auditorium - block work, columns and roof beam</v>
      </c>
      <c r="C83" s="47">
        <f>Details!P86</f>
        <v>0</v>
      </c>
      <c r="D83" s="48">
        <f>Details!V86</f>
        <v>3269300</v>
      </c>
      <c r="E83" s="386">
        <f t="shared" si="1"/>
        <v>0.9340857142857143</v>
      </c>
      <c r="F83" s="46">
        <f>Details!W86</f>
        <v>3500000</v>
      </c>
      <c r="G83" s="23">
        <v>292012.35000000003</v>
      </c>
    </row>
    <row r="84" spans="1:7" hidden="1">
      <c r="A84" s="19"/>
      <c r="B84" s="26" t="str">
        <f>Details!B87</f>
        <v>Erection of new sign posts</v>
      </c>
      <c r="C84" s="47">
        <f>Details!P87</f>
        <v>0</v>
      </c>
      <c r="D84" s="48">
        <f>Details!V87</f>
        <v>0</v>
      </c>
      <c r="E84" s="386"/>
      <c r="F84" s="46">
        <f>Details!W87</f>
        <v>0</v>
      </c>
      <c r="G84" s="23">
        <v>125148.15</v>
      </c>
    </row>
    <row r="85" spans="1:7">
      <c r="A85" s="19"/>
      <c r="B85" s="24"/>
      <c r="C85" s="4"/>
      <c r="D85" s="35"/>
      <c r="E85" s="384"/>
      <c r="F85" s="46"/>
      <c r="G85" s="23"/>
    </row>
    <row r="86" spans="1:7">
      <c r="A86" s="19"/>
      <c r="B86" s="25" t="str">
        <f>Details!B89</f>
        <v>E. COOPERATIVE FUNDS</v>
      </c>
      <c r="C86" s="7">
        <f>Details!P89</f>
        <v>0</v>
      </c>
      <c r="D86" s="50">
        <f>Details!V89</f>
        <v>918475.7</v>
      </c>
      <c r="E86" s="385">
        <f t="shared" si="1"/>
        <v>0.37937864518793885</v>
      </c>
      <c r="F86" s="46">
        <f>Details!W89</f>
        <v>2421000</v>
      </c>
      <c r="G86" s="23">
        <v>260000</v>
      </c>
    </row>
    <row r="87" spans="1:7" s="61" customFormat="1" ht="30">
      <c r="A87" s="413"/>
      <c r="B87" s="414" t="str">
        <f>Details!B90</f>
        <v>Association contributions - 3% of tithes &amp; SS, thanksgiving and general offerings</v>
      </c>
      <c r="C87" s="47">
        <f>Details!P90</f>
        <v>0</v>
      </c>
      <c r="D87" s="48">
        <f>Details!V90</f>
        <v>91847.51999999999</v>
      </c>
      <c r="E87" s="386">
        <f t="shared" si="1"/>
        <v>0.37937843866171</v>
      </c>
      <c r="F87" s="345">
        <f>Details!W90</f>
        <v>242100</v>
      </c>
      <c r="G87" s="525">
        <v>0</v>
      </c>
    </row>
    <row r="88" spans="1:7" s="61" customFormat="1" ht="30">
      <c r="A88" s="413"/>
      <c r="B88" s="414" t="str">
        <f>Details!B91</f>
        <v>Conference contributions - 7% of tithes &amp;  SS, thanksgiving and general offerings</v>
      </c>
      <c r="C88" s="47">
        <f>Details!P91</f>
        <v>0</v>
      </c>
      <c r="D88" s="48">
        <f>Details!V91</f>
        <v>214310.88</v>
      </c>
      <c r="E88" s="386">
        <f>D88/F88</f>
        <v>0.37937843866171006</v>
      </c>
      <c r="F88" s="345">
        <f>Details!W91</f>
        <v>564900</v>
      </c>
      <c r="G88" s="525">
        <v>260000</v>
      </c>
    </row>
    <row r="89" spans="1:7" s="61" customFormat="1" ht="30">
      <c r="A89" s="413"/>
      <c r="B89" s="414" t="str">
        <f>Details!B92</f>
        <v>Convention contributions - 20% of tithes &amp; SS, thanksgiving and general  offerings</v>
      </c>
      <c r="C89" s="47">
        <f>Details!P92</f>
        <v>0</v>
      </c>
      <c r="D89" s="48">
        <f>Details!V92</f>
        <v>612317.30000000005</v>
      </c>
      <c r="E89" s="386">
        <f>D89/F89</f>
        <v>0.37937874845105329</v>
      </c>
      <c r="F89" s="345">
        <f>Details!W92</f>
        <v>1614000</v>
      </c>
      <c r="G89" s="525"/>
    </row>
    <row r="90" spans="1:7" hidden="1">
      <c r="A90" s="19"/>
      <c r="B90" s="27"/>
      <c r="C90" s="7"/>
      <c r="D90" s="50"/>
      <c r="E90" s="385"/>
      <c r="F90" s="46"/>
      <c r="G90" s="23">
        <v>5686261.3200000003</v>
      </c>
    </row>
    <row r="91" spans="1:7">
      <c r="A91" s="19"/>
      <c r="B91" s="27" t="str">
        <f>Details!B94</f>
        <v>F. DESIGNATED SAVINGS</v>
      </c>
      <c r="C91" s="57">
        <f>Details!P94</f>
        <v>0</v>
      </c>
      <c r="D91" s="87">
        <f>Details!V94</f>
        <v>0</v>
      </c>
      <c r="E91" s="384"/>
      <c r="F91" s="46"/>
      <c r="G91" s="23">
        <v>0</v>
      </c>
    </row>
    <row r="92" spans="1:7">
      <c r="A92" s="19"/>
      <c r="B92" s="24" t="str">
        <f>Details!B95</f>
        <v>Pastorium (rent, development of land etc.)</v>
      </c>
      <c r="C92" s="4">
        <f>Details!P95</f>
        <v>0</v>
      </c>
      <c r="D92" s="93">
        <f>Details!V95</f>
        <v>0</v>
      </c>
      <c r="E92" s="384"/>
      <c r="F92" s="46"/>
      <c r="G92" s="23">
        <v>0</v>
      </c>
    </row>
    <row r="93" spans="1:7">
      <c r="A93" s="19"/>
      <c r="B93" s="24" t="str">
        <f>Details!B96</f>
        <v>New auditorium</v>
      </c>
      <c r="C93" s="4">
        <f>Details!P96</f>
        <v>0</v>
      </c>
      <c r="D93" s="93">
        <f>Details!V96</f>
        <v>0</v>
      </c>
      <c r="E93" s="384"/>
      <c r="F93" s="46"/>
      <c r="G93" s="23">
        <v>0</v>
      </c>
    </row>
    <row r="94" spans="1:7" hidden="1">
      <c r="A94" s="19"/>
      <c r="B94" s="24"/>
      <c r="C94" s="4">
        <f>Details!P97</f>
        <v>0</v>
      </c>
      <c r="D94" s="93"/>
      <c r="E94" s="384"/>
      <c r="F94" s="46"/>
      <c r="G94" s="23">
        <v>0</v>
      </c>
    </row>
    <row r="95" spans="1:7" s="9" customFormat="1">
      <c r="A95" s="158"/>
      <c r="B95" s="25" t="str">
        <f>Details!B98</f>
        <v>Total Expenditure</v>
      </c>
      <c r="C95" s="7">
        <f>Details!P98</f>
        <v>0</v>
      </c>
      <c r="D95" s="87">
        <f>Details!V98</f>
        <v>7915532.8292500004</v>
      </c>
      <c r="E95" s="385">
        <f>D95/F95</f>
        <v>0.56402492769993562</v>
      </c>
      <c r="F95" s="46">
        <f>Details!W98</f>
        <v>14034012.4</v>
      </c>
      <c r="G95" s="523">
        <v>0</v>
      </c>
    </row>
    <row r="96" spans="1:7" s="399" customFormat="1" ht="30">
      <c r="A96" s="392"/>
      <c r="B96" s="393" t="str">
        <f>Details!B99</f>
        <v>Balances in the church's accounts plus imprest account</v>
      </c>
      <c r="C96" s="394">
        <f>Details!P99</f>
        <v>0</v>
      </c>
      <c r="D96" s="402">
        <f>Details!P99</f>
        <v>0</v>
      </c>
      <c r="E96" s="401"/>
      <c r="F96" s="46">
        <f>Details!W99</f>
        <v>0</v>
      </c>
      <c r="G96" s="524"/>
    </row>
    <row r="97" spans="1:7">
      <c r="A97" s="19"/>
      <c r="B97" s="26" t="str">
        <f>Details!B100</f>
        <v>First Bank of Nigeria</v>
      </c>
      <c r="C97" s="4">
        <f>Details!P100</f>
        <v>0</v>
      </c>
      <c r="D97" s="35">
        <f>Details!P100</f>
        <v>0</v>
      </c>
      <c r="E97" s="384"/>
      <c r="F97" s="46">
        <f>Details!W100</f>
        <v>0</v>
      </c>
      <c r="G97" s="23">
        <v>7091172.1099999994</v>
      </c>
    </row>
    <row r="98" spans="1:7">
      <c r="A98" s="19"/>
      <c r="B98" s="24" t="str">
        <f>Details!B101</f>
        <v>Add Cash/Cheque in-transit - FBN</v>
      </c>
      <c r="C98" s="4">
        <f>Details!P101</f>
        <v>0</v>
      </c>
      <c r="D98" s="35">
        <f>Details!P101</f>
        <v>0</v>
      </c>
      <c r="E98" s="384"/>
      <c r="F98" s="46">
        <f>Details!W101</f>
        <v>0</v>
      </c>
      <c r="G98" s="23">
        <v>1276448</v>
      </c>
    </row>
    <row r="99" spans="1:7">
      <c r="A99" s="19"/>
      <c r="B99" s="26" t="str">
        <f>Details!B102</f>
        <v>Less Unpresented cheques - FBN</v>
      </c>
      <c r="C99" s="47">
        <f>Details!P102</f>
        <v>0</v>
      </c>
      <c r="D99" s="48">
        <f>Details!P102</f>
        <v>0</v>
      </c>
      <c r="E99" s="386"/>
      <c r="F99" s="46">
        <f>Details!W102</f>
        <v>0</v>
      </c>
      <c r="G99" s="23">
        <v>4209813.32</v>
      </c>
    </row>
    <row r="100" spans="1:7" ht="18.75" customHeight="1">
      <c r="A100" s="19"/>
      <c r="B100" s="26" t="str">
        <f>Details!B103</f>
        <v>Randalpha MFB</v>
      </c>
      <c r="C100" s="4">
        <f>Details!P103</f>
        <v>0</v>
      </c>
      <c r="D100" s="78">
        <f>Details!P103</f>
        <v>0</v>
      </c>
      <c r="E100" s="384"/>
      <c r="F100" s="46">
        <f>Details!W103</f>
        <v>0</v>
      </c>
      <c r="G100" s="20">
        <v>5486261.3200000003</v>
      </c>
    </row>
    <row r="101" spans="1:7">
      <c r="A101" s="19"/>
      <c r="B101" s="26" t="str">
        <f>Details!B104</f>
        <v>Access Bank</v>
      </c>
      <c r="C101" s="4">
        <f>Details!P104</f>
        <v>0</v>
      </c>
      <c r="D101" s="78">
        <f>Details!P104</f>
        <v>0</v>
      </c>
      <c r="E101" s="384"/>
      <c r="F101" s="46">
        <f>Details!W104</f>
        <v>0</v>
      </c>
    </row>
    <row r="102" spans="1:7">
      <c r="A102" s="19"/>
      <c r="B102" s="26" t="str">
        <f>Details!B105</f>
        <v>Add Cash/Cheque in-transit - Access Bank</v>
      </c>
      <c r="C102" s="47">
        <f>Details!P105</f>
        <v>0</v>
      </c>
      <c r="D102" s="78">
        <f>Details!P105</f>
        <v>0</v>
      </c>
      <c r="E102" s="384"/>
      <c r="F102" s="46">
        <f>Details!W105</f>
        <v>0</v>
      </c>
    </row>
    <row r="103" spans="1:7">
      <c r="A103" s="19"/>
      <c r="B103" s="26" t="str">
        <f>Details!B106</f>
        <v>Less Uncleared cheque - Access Bank</v>
      </c>
      <c r="C103" s="47">
        <f>Details!P106</f>
        <v>0</v>
      </c>
      <c r="D103" s="78">
        <f>Details!P106</f>
        <v>0</v>
      </c>
      <c r="E103" s="384"/>
      <c r="F103" s="46">
        <f>Details!W106</f>
        <v>0</v>
      </c>
    </row>
    <row r="104" spans="1:7">
      <c r="A104" s="19"/>
      <c r="B104" s="26" t="str">
        <f>Details!B107</f>
        <v>Imprest account (cash on hand)</v>
      </c>
      <c r="C104" s="47">
        <f>Details!P107</f>
        <v>0</v>
      </c>
      <c r="D104" s="78">
        <f>Details!P107</f>
        <v>0</v>
      </c>
      <c r="E104" s="384"/>
      <c r="F104" s="46">
        <f>Details!W107</f>
        <v>0</v>
      </c>
    </row>
    <row r="105" spans="1:7">
      <c r="A105" s="19"/>
      <c r="B105" s="25" t="str">
        <f>Details!B108</f>
        <v>CONSOLIDATED INCOME &amp; EXPENDITURE REPORT</v>
      </c>
      <c r="C105" s="47"/>
      <c r="D105" s="78"/>
      <c r="E105" s="384"/>
      <c r="F105" s="46">
        <f>Details!W108</f>
        <v>0</v>
      </c>
    </row>
    <row r="106" spans="1:7" ht="18" customHeight="1">
      <c r="A106" s="19"/>
      <c r="B106" s="409" t="str">
        <f>Details!B109</f>
        <v>Income from all sources, including B/F from 2020</v>
      </c>
      <c r="C106" s="57">
        <f>Details!P109</f>
        <v>0</v>
      </c>
      <c r="D106" s="87">
        <f>Details!V109</f>
        <v>8160163.1500000004</v>
      </c>
      <c r="E106" s="387">
        <f>D106/F106</f>
        <v>0.65330572552695731</v>
      </c>
      <c r="F106" s="46">
        <f>Details!W109</f>
        <v>12490573.450000001</v>
      </c>
    </row>
    <row r="107" spans="1:7">
      <c r="A107" s="19"/>
      <c r="B107" s="27" t="str">
        <f>Details!B110</f>
        <v>Total expenditure on new auditorium</v>
      </c>
      <c r="C107" s="57">
        <f>Details!P110</f>
        <v>0</v>
      </c>
      <c r="D107" s="8">
        <f>Details!V110</f>
        <v>3294766.88</v>
      </c>
      <c r="E107" s="385">
        <f>D107/F107</f>
        <v>0.94082435179897195</v>
      </c>
      <c r="F107" s="46">
        <f>Details!W110</f>
        <v>3502000</v>
      </c>
    </row>
    <row r="108" spans="1:7" ht="27" customHeight="1">
      <c r="A108" s="19"/>
      <c r="B108" s="27" t="str">
        <f>Details!B111</f>
        <v>General expenditure including amount transferred to building fund</v>
      </c>
      <c r="C108" s="57">
        <f>Details!P111</f>
        <v>0</v>
      </c>
      <c r="D108" s="87">
        <f>Details!V111</f>
        <v>5320765.9492499996</v>
      </c>
      <c r="E108" s="387">
        <f>D108/F108</f>
        <v>0.37913362177519522</v>
      </c>
      <c r="F108" s="46">
        <f>Details!W111</f>
        <v>14034012.4</v>
      </c>
    </row>
    <row r="109" spans="1:7" ht="22.5" customHeight="1" thickBot="1">
      <c r="A109" s="33"/>
      <c r="B109" s="418" t="str">
        <f>Details!B112</f>
        <v>Total expenditure: new auditorium &amp; general</v>
      </c>
      <c r="C109" s="419">
        <f>Details!P112</f>
        <v>0</v>
      </c>
      <c r="D109" s="420">
        <f>Details!V112</f>
        <v>7915532.8292500004</v>
      </c>
      <c r="E109" s="421">
        <f>D109/F109</f>
        <v>0.56402492769993562</v>
      </c>
      <c r="F109" s="378">
        <f>Details!W112</f>
        <v>14034012.4</v>
      </c>
    </row>
    <row r="110" spans="1:7" ht="15.75" thickTop="1">
      <c r="B110" s="403" t="str">
        <f>Details!B113</f>
        <v>Control</v>
      </c>
      <c r="C110" s="403">
        <f>Details!P113</f>
        <v>0</v>
      </c>
      <c r="D110" s="415">
        <f>D106-D109-D96</f>
        <v>244630.32074999996</v>
      </c>
    </row>
    <row r="111" spans="1:7">
      <c r="B111" s="26">
        <f>Details!B114</f>
        <v>0</v>
      </c>
      <c r="C111" s="403">
        <f>Details!C114</f>
        <v>300000</v>
      </c>
    </row>
  </sheetData>
  <mergeCells count="3">
    <mergeCell ref="A1:E1"/>
    <mergeCell ref="A2:E2"/>
    <mergeCell ref="A3:E3"/>
  </mergeCells>
  <pageMargins left="0.7" right="0.7" top="0.5" bottom="0.5" header="0.3" footer="0.3"/>
  <pageSetup paperSize="9" scale="81" fitToHeight="2" orientation="portrait" r:id="rId1"/>
  <headerFooter>
    <oddFooter>&amp;L&amp;F&amp;C&amp;A&amp;R&amp;P</oddFooter>
  </headerFooter>
  <rowBreaks count="1" manualBreakCount="1">
    <brk id="59" max="4" man="1"/>
  </rowBreaks>
</worksheet>
</file>

<file path=xl/worksheets/sheet18.xml><?xml version="1.0" encoding="utf-8"?>
<worksheet xmlns="http://schemas.openxmlformats.org/spreadsheetml/2006/main" xmlns:r="http://schemas.openxmlformats.org/officeDocument/2006/relationships">
  <dimension ref="A1:H111"/>
  <sheetViews>
    <sheetView view="pageBreakPreview" topLeftCell="A97" zoomScale="90" zoomScaleSheetLayoutView="90" workbookViewId="0">
      <selection activeCell="C118" sqref="C118"/>
    </sheetView>
  </sheetViews>
  <sheetFormatPr defaultRowHeight="15"/>
  <cols>
    <col min="1" max="1" width="8.28515625" customWidth="1"/>
    <col min="2" max="2" width="44.7109375" customWidth="1"/>
    <col min="3" max="3" width="21.140625" customWidth="1"/>
    <col min="4" max="4" width="19.42578125" customWidth="1"/>
    <col min="5" max="5" width="15" style="439" customWidth="1"/>
    <col min="6" max="6" width="24" customWidth="1"/>
    <col min="7" max="7" width="22.140625" customWidth="1"/>
    <col min="8" max="8" width="34" customWidth="1"/>
  </cols>
  <sheetData>
    <row r="1" spans="1:8" ht="18" thickTop="1">
      <c r="A1" s="735" t="s">
        <v>30</v>
      </c>
      <c r="B1" s="736"/>
      <c r="C1" s="736"/>
      <c r="D1" s="736"/>
      <c r="E1" s="737"/>
    </row>
    <row r="2" spans="1:8" ht="17.25">
      <c r="A2" s="738" t="s">
        <v>163</v>
      </c>
      <c r="B2" s="759"/>
      <c r="C2" s="759"/>
      <c r="D2" s="759"/>
      <c r="E2" s="740"/>
    </row>
    <row r="3" spans="1:8" ht="17.25">
      <c r="A3" s="738" t="s">
        <v>174</v>
      </c>
      <c r="B3" s="759"/>
      <c r="C3" s="759"/>
      <c r="D3" s="759"/>
      <c r="E3" s="740"/>
    </row>
    <row r="4" spans="1:8">
      <c r="A4" s="18"/>
      <c r="B4" s="3"/>
      <c r="C4" s="3"/>
      <c r="E4" s="428"/>
    </row>
    <row r="5" spans="1:8" ht="40.5" customHeight="1">
      <c r="A5" s="19" t="s">
        <v>43</v>
      </c>
      <c r="B5" s="56" t="s">
        <v>40</v>
      </c>
      <c r="C5" s="56" t="s">
        <v>156</v>
      </c>
      <c r="D5" s="58" t="s">
        <v>41</v>
      </c>
      <c r="E5" s="429" t="s">
        <v>68</v>
      </c>
      <c r="F5" s="38" t="s">
        <v>69</v>
      </c>
    </row>
    <row r="6" spans="1:8">
      <c r="A6" s="19">
        <v>1</v>
      </c>
      <c r="B6" s="24" t="str">
        <f>Details!B6</f>
        <v>Bank interest</v>
      </c>
      <c r="C6" s="107">
        <f>Details!Q6</f>
        <v>0</v>
      </c>
      <c r="D6" s="35">
        <f>Details!V6</f>
        <v>528.69999999999993</v>
      </c>
      <c r="E6" s="430">
        <f>D6/F6</f>
        <v>0.88116666666666654</v>
      </c>
      <c r="F6" s="46">
        <f>Details!W6</f>
        <v>600</v>
      </c>
      <c r="G6" s="11">
        <v>3562684</v>
      </c>
      <c r="H6" s="2">
        <f>D6-G6</f>
        <v>-3562155.3</v>
      </c>
    </row>
    <row r="7" spans="1:8">
      <c r="A7" s="19">
        <v>2</v>
      </c>
      <c r="B7" s="24" t="str">
        <f>Details!B7</f>
        <v>Benevolence</v>
      </c>
      <c r="C7" s="107">
        <f>Details!Q7</f>
        <v>0</v>
      </c>
      <c r="D7" s="35">
        <f>Details!V7</f>
        <v>121770</v>
      </c>
      <c r="E7" s="430">
        <f t="shared" ref="E7:E18" si="0">D7/F7</f>
        <v>0.81179999999999997</v>
      </c>
      <c r="F7" s="46">
        <f>Details!W7</f>
        <v>150000</v>
      </c>
      <c r="G7" s="11">
        <v>527310</v>
      </c>
    </row>
    <row r="8" spans="1:8">
      <c r="A8" s="19">
        <v>3</v>
      </c>
      <c r="B8" s="24" t="str">
        <f>Details!B8</f>
        <v>Building (cash and kind)</v>
      </c>
      <c r="C8" s="107">
        <f>Details!Q8</f>
        <v>0</v>
      </c>
      <c r="D8" s="35">
        <f>Details!V8</f>
        <v>943800</v>
      </c>
      <c r="E8" s="430">
        <f t="shared" si="0"/>
        <v>0.47189999999999999</v>
      </c>
      <c r="F8" s="46">
        <f>Details!W8</f>
        <v>2000000</v>
      </c>
      <c r="G8" s="11">
        <v>147070</v>
      </c>
    </row>
    <row r="9" spans="1:8">
      <c r="A9" s="19">
        <v>4</v>
      </c>
      <c r="B9" s="24" t="str">
        <f>Details!B9</f>
        <v>Designated offering towards borehole</v>
      </c>
      <c r="C9" s="107">
        <f>Details!Q9</f>
        <v>0</v>
      </c>
      <c r="D9" s="35">
        <f>Details!V9</f>
        <v>418000</v>
      </c>
      <c r="E9" s="430"/>
      <c r="F9" s="46">
        <f>Details!W9</f>
        <v>100000</v>
      </c>
      <c r="G9" s="11">
        <v>89590</v>
      </c>
    </row>
    <row r="10" spans="1:8">
      <c r="A10" s="19">
        <v>4</v>
      </c>
      <c r="B10" s="24" t="str">
        <f>Details!B10</f>
        <v>Designated offering towards Praise Festival</v>
      </c>
      <c r="C10" s="107">
        <f>Details!Q10</f>
        <v>0</v>
      </c>
      <c r="D10" s="35">
        <f>Details!V10</f>
        <v>0</v>
      </c>
      <c r="E10" s="430"/>
      <c r="F10" s="46">
        <f>Details!W10</f>
        <v>0</v>
      </c>
      <c r="G10" s="11">
        <v>2200813</v>
      </c>
    </row>
    <row r="11" spans="1:8">
      <c r="A11" s="19">
        <v>5</v>
      </c>
      <c r="B11" s="24" t="str">
        <f>Details!B11</f>
        <v>Foreign Mission offering</v>
      </c>
      <c r="C11" s="107">
        <f>Details!Q11</f>
        <v>0</v>
      </c>
      <c r="D11" s="35">
        <f>Details!V11</f>
        <v>0</v>
      </c>
      <c r="E11" s="430"/>
      <c r="F11" s="46">
        <f>Details!W11</f>
        <v>0</v>
      </c>
      <c r="G11" s="11">
        <v>73265</v>
      </c>
    </row>
    <row r="12" spans="1:8" ht="17.25" customHeight="1">
      <c r="A12" s="19">
        <v>5</v>
      </c>
      <c r="B12" s="26" t="str">
        <f>Details!B12</f>
        <v>Home Mission offering</v>
      </c>
      <c r="C12" s="107">
        <f>Details!Q12</f>
        <v>0</v>
      </c>
      <c r="D12" s="35">
        <f>Details!V12</f>
        <v>100000</v>
      </c>
      <c r="E12" s="430"/>
      <c r="F12" s="46">
        <f>Details!W12</f>
        <v>300000</v>
      </c>
      <c r="G12" s="11">
        <v>0</v>
      </c>
    </row>
    <row r="13" spans="1:8" hidden="1">
      <c r="A13" s="19">
        <v>7</v>
      </c>
      <c r="B13" s="24" t="str">
        <f>Details!B14</f>
        <v>Designated - Teenagers' Church</v>
      </c>
      <c r="C13" s="107">
        <f>Details!Q14</f>
        <v>0</v>
      </c>
      <c r="D13" s="35">
        <f>Details!V14</f>
        <v>0</v>
      </c>
      <c r="E13" s="430"/>
      <c r="F13" s="46">
        <f>Details!W14</f>
        <v>50000</v>
      </c>
      <c r="G13" s="11">
        <v>645.39</v>
      </c>
    </row>
    <row r="14" spans="1:8">
      <c r="A14" s="19">
        <v>7</v>
      </c>
      <c r="B14" s="24" t="str">
        <f>Details!B15</f>
        <v>Offering</v>
      </c>
      <c r="C14" s="107">
        <f>Details!Q15</f>
        <v>0</v>
      </c>
      <c r="D14" s="35">
        <f>Details!V15</f>
        <v>598815</v>
      </c>
      <c r="E14" s="430">
        <f t="shared" si="0"/>
        <v>0.59881499999999999</v>
      </c>
      <c r="F14" s="46">
        <f>Details!W15</f>
        <v>1000000</v>
      </c>
      <c r="G14" s="11">
        <v>2000</v>
      </c>
    </row>
    <row r="15" spans="1:8">
      <c r="A15" s="19">
        <v>8</v>
      </c>
      <c r="B15" s="24" t="str">
        <f>Details!B16</f>
        <v xml:space="preserve">Sunday School </v>
      </c>
      <c r="C15" s="107">
        <f>Details!Q16</f>
        <v>0</v>
      </c>
      <c r="D15" s="35">
        <f>Details!V16</f>
        <v>125430</v>
      </c>
      <c r="E15" s="430">
        <f t="shared" si="0"/>
        <v>0.73782352941176466</v>
      </c>
      <c r="F15" s="46">
        <f>Details!W16</f>
        <v>170000</v>
      </c>
      <c r="G15" s="11">
        <v>3000</v>
      </c>
    </row>
    <row r="16" spans="1:8">
      <c r="A16" s="19">
        <v>9</v>
      </c>
      <c r="B16" s="24" t="str">
        <f>Details!B17</f>
        <v>Thanksgiving</v>
      </c>
      <c r="C16" s="107">
        <f>Details!Q17</f>
        <v>0</v>
      </c>
      <c r="D16" s="35">
        <f>Details!V17</f>
        <v>423875</v>
      </c>
      <c r="E16" s="430">
        <f t="shared" si="0"/>
        <v>1.0596874999999999</v>
      </c>
      <c r="F16" s="46">
        <f>Details!W17</f>
        <v>400000</v>
      </c>
      <c r="G16" s="11">
        <v>0</v>
      </c>
    </row>
    <row r="17" spans="1:7">
      <c r="A17" s="19">
        <v>10</v>
      </c>
      <c r="B17" s="24" t="str">
        <f>Details!B18</f>
        <v>Tithes</v>
      </c>
      <c r="C17" s="107">
        <f>Details!Q18</f>
        <v>0</v>
      </c>
      <c r="D17" s="35">
        <f>Details!V18</f>
        <v>3607971</v>
      </c>
      <c r="E17" s="430">
        <f t="shared" si="0"/>
        <v>0.55507246153846157</v>
      </c>
      <c r="F17" s="46">
        <f>Details!W18</f>
        <v>6500000</v>
      </c>
      <c r="G17" s="11">
        <v>0</v>
      </c>
    </row>
    <row r="18" spans="1:7" s="9" customFormat="1">
      <c r="A18" s="158"/>
      <c r="B18" s="25" t="str">
        <f>Details!B19</f>
        <v>Total income this reporting period</v>
      </c>
      <c r="C18" s="31">
        <f>Details!Q19</f>
        <v>0</v>
      </c>
      <c r="D18" s="50">
        <f>Details!V19</f>
        <v>6340189.7000000002</v>
      </c>
      <c r="E18" s="431">
        <f t="shared" si="0"/>
        <v>0.59417368282945671</v>
      </c>
      <c r="F18" s="46">
        <f>Details!W19</f>
        <v>10670600</v>
      </c>
      <c r="G18" s="159">
        <v>6606377.3899999997</v>
      </c>
    </row>
    <row r="19" spans="1:7" ht="30">
      <c r="A19" s="19"/>
      <c r="B19" s="115" t="str">
        <f>Details!B20</f>
        <v>B/F from previous month/quarter: First Bank of Nigeria</v>
      </c>
      <c r="C19" s="95">
        <f>Details!Q20</f>
        <v>0</v>
      </c>
      <c r="D19" s="47">
        <f>Details!V20</f>
        <v>286762.07</v>
      </c>
      <c r="E19" s="430"/>
      <c r="F19" s="46">
        <f>Details!W20</f>
        <v>286762.07</v>
      </c>
      <c r="G19" s="11">
        <v>416870.12</v>
      </c>
    </row>
    <row r="20" spans="1:7">
      <c r="A20" s="19"/>
      <c r="B20" s="116" t="str">
        <f>Details!B21</f>
        <v xml:space="preserve">                               Randalapha MFB</v>
      </c>
      <c r="C20" s="107">
        <f>Details!Q21</f>
        <v>0</v>
      </c>
      <c r="D20" s="47">
        <f>Details!V21</f>
        <v>16787.310000000001</v>
      </c>
      <c r="E20" s="430"/>
      <c r="F20" s="46">
        <f>Details!W21</f>
        <v>16787.310000000001</v>
      </c>
      <c r="G20" s="11">
        <v>29348.6</v>
      </c>
    </row>
    <row r="21" spans="1:7">
      <c r="A21" s="19"/>
      <c r="B21" s="116" t="str">
        <f>Details!B22</f>
        <v xml:space="preserve">                               Access Bank (Building fund)</v>
      </c>
      <c r="C21" s="107">
        <f>Details!Q22</f>
        <v>0</v>
      </c>
      <c r="D21" s="47">
        <f>Details!V22</f>
        <v>1513424.07</v>
      </c>
      <c r="E21" s="430"/>
      <c r="F21" s="46">
        <f>Details!W22</f>
        <v>1513424.07</v>
      </c>
      <c r="G21" s="11">
        <v>35576</v>
      </c>
    </row>
    <row r="22" spans="1:7" ht="30" customHeight="1">
      <c r="A22" s="19"/>
      <c r="B22" s="390" t="str">
        <f>Details!B23</f>
        <v xml:space="preserve">                               Imprest Account (Cash on hand)</v>
      </c>
      <c r="C22" s="95">
        <f>Details!Q23</f>
        <v>0</v>
      </c>
      <c r="D22" s="47">
        <f>Details!V23</f>
        <v>3000</v>
      </c>
      <c r="E22" s="430"/>
      <c r="F22" s="46">
        <f>Details!W23</f>
        <v>3000</v>
      </c>
      <c r="G22" s="11">
        <v>3000</v>
      </c>
    </row>
    <row r="23" spans="1:7" s="9" customFormat="1">
      <c r="A23" s="158"/>
      <c r="B23" s="25" t="str">
        <f>Details!B24</f>
        <v>Total B/F from 2020 or last month or quarter</v>
      </c>
      <c r="C23" s="31">
        <f>Details!Q24</f>
        <v>0</v>
      </c>
      <c r="D23" s="7">
        <f>Details!C24</f>
        <v>1819973.4500000002</v>
      </c>
      <c r="E23" s="431"/>
      <c r="F23" s="261">
        <f>Details!W24</f>
        <v>1819973.4500000002</v>
      </c>
      <c r="G23" s="159">
        <v>484794.72</v>
      </c>
    </row>
    <row r="24" spans="1:7">
      <c r="A24" s="19"/>
      <c r="B24" s="25" t="str">
        <f>Details!B25</f>
        <v>Total Income/Available cash</v>
      </c>
      <c r="C24" s="31">
        <f>Details!Q25</f>
        <v>0</v>
      </c>
      <c r="D24" s="50">
        <f>SUM(D18:D22)</f>
        <v>8160163.1500000004</v>
      </c>
      <c r="E24" s="431">
        <f t="shared" ref="E24:E87" si="1">D24/F24</f>
        <v>0.65330572552695731</v>
      </c>
      <c r="F24" s="46">
        <f>Details!W25</f>
        <v>12490573.450000001</v>
      </c>
      <c r="G24" s="11">
        <v>7091172.1099999994</v>
      </c>
    </row>
    <row r="25" spans="1:7">
      <c r="A25" s="19"/>
      <c r="B25" s="25" t="str">
        <f>Details!B26</f>
        <v>EXPENDITURE</v>
      </c>
      <c r="C25" s="107"/>
      <c r="D25" s="35"/>
      <c r="E25" s="430"/>
      <c r="F25" s="46">
        <f>Details!W26</f>
        <v>0</v>
      </c>
      <c r="G25" s="11"/>
    </row>
    <row r="26" spans="1:7">
      <c r="A26" s="19"/>
      <c r="B26" s="25" t="str">
        <f>Details!B27</f>
        <v>A. CHURCH MINISTRIES</v>
      </c>
      <c r="C26" s="31">
        <f>Details!Q27</f>
        <v>0</v>
      </c>
      <c r="D26" s="57">
        <f>Details!V27</f>
        <v>1016150</v>
      </c>
      <c r="E26" s="431">
        <f t="shared" si="1"/>
        <v>0.33730000663878379</v>
      </c>
      <c r="F26" s="46">
        <f>Details!W27</f>
        <v>3012600</v>
      </c>
      <c r="G26" s="11">
        <v>724900</v>
      </c>
    </row>
    <row r="27" spans="1:7">
      <c r="A27" s="19"/>
      <c r="B27" s="389" t="str">
        <f>Details!B28</f>
        <v>Benevolence</v>
      </c>
      <c r="C27" s="424">
        <f>Details!Q28</f>
        <v>0</v>
      </c>
      <c r="D27" s="35">
        <f>Details!V28</f>
        <v>193940</v>
      </c>
      <c r="E27" s="430">
        <f t="shared" si="1"/>
        <v>0.543249299719888</v>
      </c>
      <c r="F27" s="46">
        <f>Details!W28</f>
        <v>357000</v>
      </c>
      <c r="G27" s="11"/>
    </row>
    <row r="28" spans="1:7">
      <c r="A28" s="19"/>
      <c r="B28" s="389" t="str">
        <f>Details!B29</f>
        <v>Childrens' Department</v>
      </c>
      <c r="C28" s="424">
        <f>Details!Q29</f>
        <v>0</v>
      </c>
      <c r="D28" s="400">
        <f>Details!V29</f>
        <v>98380</v>
      </c>
      <c r="E28" s="432">
        <f t="shared" si="1"/>
        <v>0.37265151515151518</v>
      </c>
      <c r="F28" s="46">
        <f>Details!W29</f>
        <v>264000</v>
      </c>
      <c r="G28" s="11">
        <v>724900</v>
      </c>
    </row>
    <row r="29" spans="1:7">
      <c r="A29" s="19"/>
      <c r="B29" s="24" t="str">
        <f>Details!B30</f>
        <v>Church decorations</v>
      </c>
      <c r="C29" s="424">
        <f>Details!Q30</f>
        <v>0</v>
      </c>
      <c r="D29" s="35">
        <f>Details!V30</f>
        <v>0</v>
      </c>
      <c r="E29" s="430">
        <f t="shared" si="1"/>
        <v>0</v>
      </c>
      <c r="F29" s="46">
        <f>Details!W30</f>
        <v>25000</v>
      </c>
      <c r="G29" s="11">
        <v>131400</v>
      </c>
    </row>
    <row r="30" spans="1:7">
      <c r="A30" s="19"/>
      <c r="B30" s="24" t="str">
        <f>Details!B31</f>
        <v>Church Maintenance</v>
      </c>
      <c r="C30" s="424">
        <f>Details!Q31</f>
        <v>0</v>
      </c>
      <c r="D30" s="35">
        <f>Details!V31</f>
        <v>0</v>
      </c>
      <c r="E30" s="430">
        <f t="shared" si="1"/>
        <v>0</v>
      </c>
      <c r="F30" s="46">
        <f>Details!W31</f>
        <v>20000</v>
      </c>
      <c r="G30" s="11">
        <v>55700</v>
      </c>
    </row>
    <row r="31" spans="1:7">
      <c r="A31" s="19"/>
      <c r="B31" s="24" t="str">
        <f>Details!B33</f>
        <v>Discipleship Department</v>
      </c>
      <c r="C31" s="424">
        <f>Details!Q33</f>
        <v>0</v>
      </c>
      <c r="D31" s="35">
        <f>Details!V33</f>
        <v>0</v>
      </c>
      <c r="E31" s="430">
        <f t="shared" si="1"/>
        <v>0</v>
      </c>
      <c r="F31" s="46">
        <f>Details!W33</f>
        <v>15000</v>
      </c>
      <c r="G31" s="11">
        <v>64750</v>
      </c>
    </row>
    <row r="32" spans="1:7">
      <c r="A32" s="19"/>
      <c r="B32" s="24" t="str">
        <f>Details!B34</f>
        <v>Drama Committee</v>
      </c>
      <c r="C32" s="424">
        <f>Details!Q34</f>
        <v>0</v>
      </c>
      <c r="D32" s="35">
        <f>Details!V34</f>
        <v>10000</v>
      </c>
      <c r="E32" s="430">
        <f t="shared" si="1"/>
        <v>0.2857142857142857</v>
      </c>
      <c r="F32" s="46">
        <f>Details!W34</f>
        <v>35000</v>
      </c>
      <c r="G32" s="11">
        <v>48460</v>
      </c>
    </row>
    <row r="33" spans="1:7" ht="30">
      <c r="A33" s="19"/>
      <c r="B33" s="26" t="str">
        <f>Details!B35</f>
        <v>End of year outreach - Heaven's Link Praise Festival</v>
      </c>
      <c r="C33" s="425">
        <f>Details!Q35</f>
        <v>0</v>
      </c>
      <c r="D33" s="48">
        <f>Details!V35</f>
        <v>0</v>
      </c>
      <c r="E33" s="433">
        <f t="shared" si="1"/>
        <v>0</v>
      </c>
      <c r="F33" s="344">
        <f>Details!W35</f>
        <v>130000</v>
      </c>
      <c r="G33" s="11">
        <v>2000</v>
      </c>
    </row>
    <row r="34" spans="1:7">
      <c r="A34" s="19"/>
      <c r="B34" s="24" t="str">
        <f>Details!B36</f>
        <v>Evangelism Committee</v>
      </c>
      <c r="C34" s="424">
        <f>Details!Q36</f>
        <v>0</v>
      </c>
      <c r="D34" s="35">
        <f>Details!V36</f>
        <v>256400</v>
      </c>
      <c r="E34" s="430">
        <f t="shared" si="1"/>
        <v>0.51280000000000003</v>
      </c>
      <c r="F34" s="46">
        <f>Details!W36</f>
        <v>500000</v>
      </c>
      <c r="G34" s="11">
        <v>0</v>
      </c>
    </row>
    <row r="35" spans="1:7">
      <c r="A35" s="19"/>
      <c r="B35" s="24" t="str">
        <f>Details!B37</f>
        <v>Exemplary Youth Award</v>
      </c>
      <c r="C35" s="424">
        <f>Details!Q37</f>
        <v>0</v>
      </c>
      <c r="D35" s="35">
        <f>Details!V37</f>
        <v>0</v>
      </c>
      <c r="E35" s="430">
        <f t="shared" si="1"/>
        <v>0</v>
      </c>
      <c r="F35" s="46">
        <f>Details!W37</f>
        <v>75000</v>
      </c>
      <c r="G35" s="11">
        <v>38250</v>
      </c>
    </row>
    <row r="36" spans="1:7">
      <c r="A36" s="19"/>
      <c r="B36" s="24" t="str">
        <f>Details!B38</f>
        <v>External Affairs</v>
      </c>
      <c r="C36" s="424">
        <f>Details!Q38</f>
        <v>0</v>
      </c>
      <c r="D36" s="35">
        <f>Details!V38</f>
        <v>36940</v>
      </c>
      <c r="E36" s="430">
        <f t="shared" si="1"/>
        <v>0.97210526315789469</v>
      </c>
      <c r="F36" s="46">
        <f>Details!W38</f>
        <v>38000</v>
      </c>
      <c r="G36" s="11">
        <v>41400</v>
      </c>
    </row>
    <row r="37" spans="1:7">
      <c r="A37" s="19"/>
      <c r="B37" s="24" t="str">
        <f>Details!B39</f>
        <v>Health Committee</v>
      </c>
      <c r="C37" s="424">
        <f>Details!Q39</f>
        <v>0</v>
      </c>
      <c r="D37" s="35">
        <f>Details!V39</f>
        <v>3200</v>
      </c>
      <c r="E37" s="430">
        <f t="shared" si="1"/>
        <v>9.2753623188405798E-2</v>
      </c>
      <c r="F37" s="46">
        <f>Details!W39</f>
        <v>34500</v>
      </c>
      <c r="G37" s="11">
        <v>62000</v>
      </c>
    </row>
    <row r="38" spans="1:7">
      <c r="A38" s="19"/>
      <c r="B38" s="24" t="str">
        <f>Details!B40</f>
        <v>Hospitality Committee</v>
      </c>
      <c r="C38" s="424">
        <f>Details!Q40</f>
        <v>0</v>
      </c>
      <c r="D38" s="35">
        <f>Details!V40</f>
        <v>21990</v>
      </c>
      <c r="E38" s="430">
        <f t="shared" si="1"/>
        <v>8.3675799086757985E-2</v>
      </c>
      <c r="F38" s="46">
        <f>Details!W40</f>
        <v>262800</v>
      </c>
      <c r="G38" s="11">
        <v>0</v>
      </c>
    </row>
    <row r="39" spans="1:7">
      <c r="A39" s="19"/>
      <c r="B39" s="24" t="str">
        <f>Details!B41</f>
        <v>Media/Sound Unit</v>
      </c>
      <c r="C39" s="424">
        <f>Details!Q41</f>
        <v>0</v>
      </c>
      <c r="D39" s="35">
        <f>Details!V41</f>
        <v>46400</v>
      </c>
      <c r="E39" s="430">
        <f t="shared" si="1"/>
        <v>0.30933333333333335</v>
      </c>
      <c r="F39" s="46">
        <f>Details!W41</f>
        <v>150000</v>
      </c>
      <c r="G39" s="11">
        <v>3400</v>
      </c>
    </row>
    <row r="40" spans="1:7">
      <c r="A40" s="19"/>
      <c r="B40" s="24" t="str">
        <f>Details!B42</f>
        <v>MMU</v>
      </c>
      <c r="C40" s="424">
        <f>Details!Q42</f>
        <v>0</v>
      </c>
      <c r="D40" s="35">
        <f>Details!V42</f>
        <v>600</v>
      </c>
      <c r="E40" s="430">
        <f t="shared" si="1"/>
        <v>1.2E-2</v>
      </c>
      <c r="F40" s="46">
        <f>Details!W42</f>
        <v>50000</v>
      </c>
      <c r="G40" s="11">
        <v>138140</v>
      </c>
    </row>
    <row r="41" spans="1:7">
      <c r="A41" s="19"/>
      <c r="B41" s="24" t="str">
        <f>Details!B43</f>
        <v>Music Department</v>
      </c>
      <c r="C41" s="424">
        <f>Details!Q43</f>
        <v>0</v>
      </c>
      <c r="D41" s="35">
        <f>Details!V43</f>
        <v>49000</v>
      </c>
      <c r="E41" s="430">
        <f t="shared" si="1"/>
        <v>0.17437722419928825</v>
      </c>
      <c r="F41" s="46">
        <f>Details!W43</f>
        <v>281000</v>
      </c>
      <c r="G41" s="11">
        <v>0</v>
      </c>
    </row>
    <row r="42" spans="1:7">
      <c r="A42" s="19"/>
      <c r="B42" s="24" t="str">
        <f>Details!B44</f>
        <v>Nominating</v>
      </c>
      <c r="C42" s="424">
        <f>Details!Q44</f>
        <v>0</v>
      </c>
      <c r="D42" s="35">
        <f>Details!V44</f>
        <v>0</v>
      </c>
      <c r="E42" s="430" t="e">
        <f t="shared" si="1"/>
        <v>#DIV/0!</v>
      </c>
      <c r="F42" s="46">
        <f>Details!W44</f>
        <v>0</v>
      </c>
      <c r="G42" s="11">
        <v>25000</v>
      </c>
    </row>
    <row r="43" spans="1:7">
      <c r="A43" s="19"/>
      <c r="B43" s="24" t="str">
        <f>Details!B45</f>
        <v>Property Committee</v>
      </c>
      <c r="C43" s="424">
        <f>Details!Q45</f>
        <v>0</v>
      </c>
      <c r="D43" s="35">
        <f>Details!V45</f>
        <v>6000</v>
      </c>
      <c r="E43" s="430">
        <f t="shared" si="1"/>
        <v>0.03</v>
      </c>
      <c r="F43" s="46">
        <f>Details!W45</f>
        <v>200000</v>
      </c>
      <c r="G43" s="11">
        <v>0</v>
      </c>
    </row>
    <row r="44" spans="1:7">
      <c r="A44" s="19"/>
      <c r="B44" s="24" t="str">
        <f>Details!B46</f>
        <v>Personnel</v>
      </c>
      <c r="C44" s="424">
        <f>Details!Q46</f>
        <v>0</v>
      </c>
      <c r="D44" s="35">
        <f>Details!V46</f>
        <v>0</v>
      </c>
      <c r="E44" s="430"/>
      <c r="F44" s="46">
        <f>Details!W46</f>
        <v>0</v>
      </c>
      <c r="G44" s="11">
        <v>0</v>
      </c>
    </row>
    <row r="45" spans="1:7">
      <c r="A45" s="19"/>
      <c r="B45" s="24" t="str">
        <f>Details!B47</f>
        <v>Sanctuary supplies</v>
      </c>
      <c r="C45" s="424">
        <f>Details!Q47</f>
        <v>0</v>
      </c>
      <c r="D45" s="35">
        <f>Details!V47</f>
        <v>75500</v>
      </c>
      <c r="E45" s="430">
        <f t="shared" si="1"/>
        <v>0.25166666666666665</v>
      </c>
      <c r="F45" s="46">
        <f>Details!W47</f>
        <v>300000</v>
      </c>
      <c r="G45" s="11">
        <v>0</v>
      </c>
    </row>
    <row r="46" spans="1:7">
      <c r="A46" s="19"/>
      <c r="B46" s="24" t="str">
        <f>Details!B48</f>
        <v>Stewardship</v>
      </c>
      <c r="C46" s="424">
        <f>Details!Q48</f>
        <v>0</v>
      </c>
      <c r="D46" s="35">
        <f>Details!V48</f>
        <v>0</v>
      </c>
      <c r="E46" s="430">
        <f t="shared" si="1"/>
        <v>0</v>
      </c>
      <c r="F46" s="46">
        <f>Details!W48</f>
        <v>10000</v>
      </c>
      <c r="G46" s="11">
        <v>10000</v>
      </c>
    </row>
    <row r="47" spans="1:7">
      <c r="A47" s="19"/>
      <c r="B47" s="24" t="str">
        <f>Details!B49</f>
        <v xml:space="preserve">Sunday School </v>
      </c>
      <c r="C47" s="424">
        <f>Details!Q49</f>
        <v>0</v>
      </c>
      <c r="D47" s="35">
        <f>Details!V49</f>
        <v>31400</v>
      </c>
      <c r="E47" s="430">
        <f t="shared" si="1"/>
        <v>0.8306878306878307</v>
      </c>
      <c r="F47" s="46">
        <f>Details!W49</f>
        <v>37800</v>
      </c>
      <c r="G47" s="11">
        <v>5000</v>
      </c>
    </row>
    <row r="48" spans="1:7">
      <c r="A48" s="19"/>
      <c r="B48" s="24" t="str">
        <f>Details!B50</f>
        <v>Ushers Committee</v>
      </c>
      <c r="C48" s="424">
        <f>Details!Q50</f>
        <v>0</v>
      </c>
      <c r="D48" s="35">
        <f>Details!V50</f>
        <v>2500</v>
      </c>
      <c r="E48" s="430">
        <f t="shared" si="1"/>
        <v>0.3125</v>
      </c>
      <c r="F48" s="46">
        <f>Details!W50</f>
        <v>8000</v>
      </c>
      <c r="G48" s="11">
        <v>0</v>
      </c>
    </row>
    <row r="49" spans="1:7">
      <c r="A49" s="19"/>
      <c r="B49" s="24" t="str">
        <f>Details!B51</f>
        <v>Visitation Committee</v>
      </c>
      <c r="C49" s="424">
        <f>Details!Q51</f>
        <v>0</v>
      </c>
      <c r="D49" s="35">
        <f>Details!V51</f>
        <v>7500</v>
      </c>
      <c r="E49" s="430">
        <f t="shared" si="1"/>
        <v>0.46875</v>
      </c>
      <c r="F49" s="46">
        <f>Details!W51</f>
        <v>16000</v>
      </c>
      <c r="G49" s="11">
        <v>99400</v>
      </c>
    </row>
    <row r="50" spans="1:7" s="399" customFormat="1">
      <c r="A50" s="392"/>
      <c r="B50" s="389" t="str">
        <f>Details!B52</f>
        <v>WMU</v>
      </c>
      <c r="C50" s="424">
        <f>Details!Q52</f>
        <v>0</v>
      </c>
      <c r="D50" s="400">
        <f>Details!V52</f>
        <v>48000</v>
      </c>
      <c r="E50" s="432">
        <f t="shared" si="1"/>
        <v>0.59627329192546585</v>
      </c>
      <c r="F50" s="397">
        <f>Details!W52</f>
        <v>80500</v>
      </c>
      <c r="G50" s="398">
        <v>1002134.8</v>
      </c>
    </row>
    <row r="51" spans="1:7">
      <c r="A51" s="19"/>
      <c r="B51" s="24" t="str">
        <f>Details!B53</f>
        <v>Youth Fellowship</v>
      </c>
      <c r="C51" s="424">
        <f>Details!Q53</f>
        <v>0</v>
      </c>
      <c r="D51" s="35">
        <f>Details!V53</f>
        <v>94000</v>
      </c>
      <c r="E51" s="430">
        <f t="shared" si="1"/>
        <v>1.1325301204819278</v>
      </c>
      <c r="F51" s="46">
        <f>Details!W53</f>
        <v>83000</v>
      </c>
      <c r="G51" s="11">
        <v>645534.80000000005</v>
      </c>
    </row>
    <row r="52" spans="1:7" hidden="1">
      <c r="A52" s="19"/>
      <c r="B52" s="24"/>
      <c r="C52" s="424"/>
      <c r="D52" s="35"/>
      <c r="E52" s="430"/>
      <c r="F52" s="46">
        <f>Details!W54</f>
        <v>20000</v>
      </c>
      <c r="G52" s="11">
        <v>220000</v>
      </c>
    </row>
    <row r="53" spans="1:7" hidden="1">
      <c r="A53" s="19"/>
      <c r="B53" s="24"/>
      <c r="C53" s="424"/>
      <c r="D53" s="35"/>
      <c r="E53" s="430"/>
      <c r="F53" s="46"/>
      <c r="G53" s="11"/>
    </row>
    <row r="54" spans="1:7">
      <c r="A54" s="19"/>
      <c r="B54" s="24"/>
      <c r="C54" s="107"/>
      <c r="D54" s="35"/>
      <c r="E54" s="430"/>
      <c r="F54" s="46"/>
      <c r="G54" s="11"/>
    </row>
    <row r="55" spans="1:7">
      <c r="A55" s="19"/>
      <c r="B55" s="25" t="str">
        <f>Details!B57</f>
        <v>B. CHURCH STAFF</v>
      </c>
      <c r="C55" s="31">
        <f>Details!Q57</f>
        <v>0</v>
      </c>
      <c r="D55" s="50">
        <f>Details!V57</f>
        <v>1295169.53</v>
      </c>
      <c r="E55" s="431">
        <f t="shared" si="1"/>
        <v>0.44663907568641337</v>
      </c>
      <c r="F55" s="46">
        <f>Details!W57</f>
        <v>2899812.4</v>
      </c>
      <c r="G55" s="11">
        <v>881297.02</v>
      </c>
    </row>
    <row r="56" spans="1:7">
      <c r="A56" s="19"/>
      <c r="B56" s="24" t="str">
        <f>Details!B58</f>
        <v>Church Pastor (salaries and allowances)</v>
      </c>
      <c r="C56" s="107">
        <f>Details!Q58</f>
        <v>0</v>
      </c>
      <c r="D56" s="35">
        <f>Details!V58</f>
        <v>674440.77</v>
      </c>
      <c r="E56" s="430">
        <f t="shared" si="1"/>
        <v>0.41245127227746647</v>
      </c>
      <c r="F56" s="46">
        <f>Details!W58</f>
        <v>1635201.09</v>
      </c>
      <c r="G56" s="11">
        <v>128850</v>
      </c>
    </row>
    <row r="57" spans="1:7" ht="15" customHeight="1">
      <c r="A57" s="19"/>
      <c r="B57" s="26" t="str">
        <f>Details!B59</f>
        <v>Other Pastors</v>
      </c>
      <c r="C57" s="107">
        <f>Details!Q59</f>
        <v>0</v>
      </c>
      <c r="D57" s="35">
        <f>Details!V59</f>
        <v>418634</v>
      </c>
      <c r="E57" s="430">
        <f t="shared" si="1"/>
        <v>0.52991645569620249</v>
      </c>
      <c r="F57" s="46">
        <f>Details!W59</f>
        <v>790000</v>
      </c>
      <c r="G57" s="11">
        <v>12847.02</v>
      </c>
    </row>
    <row r="58" spans="1:7">
      <c r="A58" s="19"/>
      <c r="B58" s="24" t="str">
        <f>Details!B60</f>
        <v>Janitor</v>
      </c>
      <c r="C58" s="107">
        <f>Details!Q60</f>
        <v>0</v>
      </c>
      <c r="D58" s="35">
        <f>Details!V60</f>
        <v>202094.76</v>
      </c>
      <c r="E58" s="430">
        <f t="shared" si="1"/>
        <v>0.42581109160672975</v>
      </c>
      <c r="F58" s="46">
        <f>Details!W60</f>
        <v>474611.31</v>
      </c>
      <c r="G58" s="11">
        <v>26800</v>
      </c>
    </row>
    <row r="59" spans="1:7">
      <c r="A59" s="19"/>
      <c r="B59" s="24"/>
      <c r="C59" s="107"/>
      <c r="D59" s="35"/>
      <c r="E59" s="430"/>
      <c r="F59" s="345"/>
      <c r="G59" s="11">
        <v>21870</v>
      </c>
    </row>
    <row r="60" spans="1:7" s="9" customFormat="1">
      <c r="A60" s="158"/>
      <c r="B60" s="27" t="str">
        <f>Details!B62</f>
        <v>C. OPERATION COSTS</v>
      </c>
      <c r="C60" s="56">
        <f>Details!Q62</f>
        <v>0</v>
      </c>
      <c r="D60" s="63">
        <f>Details!V62</f>
        <v>829740.71924999997</v>
      </c>
      <c r="E60" s="434">
        <f t="shared" si="1"/>
        <v>0.77647456414935423</v>
      </c>
      <c r="F60" s="261">
        <f>Details!W62</f>
        <v>1068600</v>
      </c>
      <c r="G60" s="159">
        <v>16530</v>
      </c>
    </row>
    <row r="61" spans="1:7">
      <c r="A61" s="19"/>
      <c r="B61" s="24" t="str">
        <f>Details!B64</f>
        <v xml:space="preserve">Bank charges: sms, maintenance, VAT etc. </v>
      </c>
      <c r="C61" s="107">
        <f>Details!Q64</f>
        <v>0</v>
      </c>
      <c r="D61" s="35">
        <f>Details!V64</f>
        <v>15220.720000000001</v>
      </c>
      <c r="E61" s="430">
        <f t="shared" si="1"/>
        <v>0.69185090909090918</v>
      </c>
      <c r="F61" s="345">
        <f>Details!W64</f>
        <v>22000</v>
      </c>
      <c r="G61" s="11">
        <v>0</v>
      </c>
    </row>
    <row r="62" spans="1:7">
      <c r="A62" s="19"/>
      <c r="B62" s="24" t="str">
        <f>Details!B65</f>
        <v>Church Council refreshments</v>
      </c>
      <c r="C62" s="107">
        <f>Details!Q65</f>
        <v>0</v>
      </c>
      <c r="D62" s="35">
        <f>Details!V65</f>
        <v>8000</v>
      </c>
      <c r="E62" s="430">
        <f t="shared" si="1"/>
        <v>0.33333333333333331</v>
      </c>
      <c r="F62" s="46">
        <f>Details!W65</f>
        <v>24000</v>
      </c>
      <c r="G62" s="11">
        <v>45100</v>
      </c>
    </row>
    <row r="63" spans="1:7">
      <c r="A63" s="19"/>
      <c r="B63" s="24" t="str">
        <f>Details!B66</f>
        <v>Church secreteriat</v>
      </c>
      <c r="C63" s="107">
        <f>Details!Q66</f>
        <v>0</v>
      </c>
      <c r="D63" s="35">
        <f>Details!V66</f>
        <v>55470</v>
      </c>
      <c r="E63" s="430">
        <f t="shared" si="1"/>
        <v>0.92449999999999999</v>
      </c>
      <c r="F63" s="46">
        <f>Details!W66</f>
        <v>60000</v>
      </c>
      <c r="G63" s="11">
        <v>11000</v>
      </c>
    </row>
    <row r="64" spans="1:7">
      <c r="A64" s="19"/>
      <c r="B64" s="24" t="str">
        <f>Details!B67</f>
        <v>Convention session</v>
      </c>
      <c r="C64" s="107">
        <f>Details!Q67</f>
        <v>0</v>
      </c>
      <c r="D64" s="35">
        <f>Details!V67</f>
        <v>122500</v>
      </c>
      <c r="E64" s="430">
        <f t="shared" si="1"/>
        <v>6.125</v>
      </c>
      <c r="F64" s="46">
        <f>Details!W67</f>
        <v>20000</v>
      </c>
      <c r="G64" s="11">
        <v>0</v>
      </c>
    </row>
    <row r="65" spans="1:7">
      <c r="A65" s="19"/>
      <c r="B65" s="24" t="str">
        <f>Details!B68</f>
        <v>Electricity - church auditorium</v>
      </c>
      <c r="C65" s="107">
        <f>Details!Q68</f>
        <v>0</v>
      </c>
      <c r="D65" s="35">
        <f>Details!V68</f>
        <v>20000</v>
      </c>
      <c r="E65" s="430">
        <f t="shared" si="1"/>
        <v>0.625</v>
      </c>
      <c r="F65" s="46">
        <f>Details!W68</f>
        <v>32000</v>
      </c>
      <c r="G65" s="11">
        <v>207800</v>
      </c>
    </row>
    <row r="66" spans="1:7">
      <c r="A66" s="19"/>
      <c r="B66" s="24" t="str">
        <f>Details!B69</f>
        <v>Electricity - Pastorium</v>
      </c>
      <c r="C66" s="107">
        <f>Details!Q69</f>
        <v>0</v>
      </c>
      <c r="D66" s="35">
        <f>Details!V69</f>
        <v>10000</v>
      </c>
      <c r="E66" s="430">
        <f t="shared" si="1"/>
        <v>0.20833333333333334</v>
      </c>
      <c r="F66" s="46">
        <f>Details!W69</f>
        <v>48000</v>
      </c>
      <c r="G66" s="11">
        <v>20000</v>
      </c>
    </row>
    <row r="67" spans="1:7">
      <c r="A67" s="19"/>
      <c r="B67" s="24" t="str">
        <f>Details!B70</f>
        <v>Generators - fuel and maintenance church auditorium</v>
      </c>
      <c r="C67" s="107">
        <f>Details!Q70</f>
        <v>0</v>
      </c>
      <c r="D67" s="35">
        <f>Details!V70</f>
        <v>136849.99924999999</v>
      </c>
      <c r="E67" s="430">
        <f t="shared" si="1"/>
        <v>0.51479269803888994</v>
      </c>
      <c r="F67" s="345">
        <f>Details!W70</f>
        <v>265835.15999999997</v>
      </c>
      <c r="G67" s="11">
        <v>10000</v>
      </c>
    </row>
    <row r="68" spans="1:7">
      <c r="A68" s="19"/>
      <c r="B68" s="26" t="str">
        <f>Details!B71</f>
        <v>Generators - fuel and maintenance pastorium</v>
      </c>
      <c r="C68" s="95">
        <f>Details!Q71</f>
        <v>0</v>
      </c>
      <c r="D68" s="48">
        <f>Details!V71</f>
        <v>99900</v>
      </c>
      <c r="E68" s="433">
        <f t="shared" si="1"/>
        <v>0.90191075074003635</v>
      </c>
      <c r="F68" s="46">
        <f>Details!W71</f>
        <v>110764.84</v>
      </c>
      <c r="G68" s="11">
        <v>95700</v>
      </c>
    </row>
    <row r="69" spans="1:7" hidden="1">
      <c r="A69" s="19"/>
      <c r="B69" s="26" t="str">
        <f>Details!B72</f>
        <v>Keep fit instructor</v>
      </c>
      <c r="C69" s="107">
        <f>Details!Q72</f>
        <v>0</v>
      </c>
      <c r="D69" s="35">
        <f>Details!V72</f>
        <v>0</v>
      </c>
      <c r="E69" s="430" t="e">
        <f t="shared" si="1"/>
        <v>#DIV/0!</v>
      </c>
      <c r="F69" s="46">
        <f>Details!W72</f>
        <v>0</v>
      </c>
      <c r="G69" s="11">
        <v>68250</v>
      </c>
    </row>
    <row r="70" spans="1:7" ht="19.5" customHeight="1">
      <c r="A70" s="19"/>
      <c r="B70" s="24" t="str">
        <f>Details!B73</f>
        <v xml:space="preserve">Ministers' Conference </v>
      </c>
      <c r="C70" s="107">
        <f>Details!Q73</f>
        <v>0</v>
      </c>
      <c r="D70" s="35">
        <f>Details!V73</f>
        <v>0</v>
      </c>
      <c r="E70" s="430">
        <f t="shared" si="1"/>
        <v>0</v>
      </c>
      <c r="F70" s="46">
        <f>Details!W73</f>
        <v>6000</v>
      </c>
      <c r="G70" s="11">
        <v>16000</v>
      </c>
    </row>
    <row r="71" spans="1:7" ht="47.25" customHeight="1">
      <c r="A71" s="19"/>
      <c r="B71" s="157" t="str">
        <f>Details!B74</f>
        <v>Miscellanous (transport for CAN Minister, honorarium for supervisor)</v>
      </c>
      <c r="C71" s="95">
        <f>Details!Q74</f>
        <v>0</v>
      </c>
      <c r="D71" s="48">
        <f>Details!V74</f>
        <v>18000</v>
      </c>
      <c r="E71" s="433">
        <f t="shared" si="1"/>
        <v>0.36</v>
      </c>
      <c r="F71" s="46">
        <f>Details!W74</f>
        <v>50000</v>
      </c>
      <c r="G71" s="11">
        <v>200550</v>
      </c>
    </row>
    <row r="72" spans="1:7">
      <c r="A72" s="19"/>
      <c r="B72" s="24" t="str">
        <f>Details!B75</f>
        <v>Motorcycle</v>
      </c>
      <c r="C72" s="107">
        <f>Details!Q75</f>
        <v>0</v>
      </c>
      <c r="D72" s="35">
        <f>Details!V75</f>
        <v>3800</v>
      </c>
      <c r="E72" s="430" t="e">
        <f t="shared" si="1"/>
        <v>#DIV/0!</v>
      </c>
      <c r="F72" s="46">
        <f>Details!W75</f>
        <v>0</v>
      </c>
      <c r="G72" s="11"/>
    </row>
    <row r="73" spans="1:7" s="399" customFormat="1" ht="18" customHeight="1">
      <c r="A73" s="392"/>
      <c r="B73" s="393" t="str">
        <f>Details!B76</f>
        <v>Ogbomoso Conference</v>
      </c>
      <c r="C73" s="425">
        <f>Details!Q76</f>
        <v>0</v>
      </c>
      <c r="D73" s="395">
        <f>Details!V76</f>
        <v>0</v>
      </c>
      <c r="E73" s="435">
        <f t="shared" si="1"/>
        <v>0</v>
      </c>
      <c r="F73" s="46">
        <f>Details!W76</f>
        <v>25000</v>
      </c>
      <c r="G73" s="398">
        <v>1566448</v>
      </c>
    </row>
    <row r="74" spans="1:7">
      <c r="A74" s="19"/>
      <c r="B74" s="24" t="str">
        <f>Details!B77</f>
        <v xml:space="preserve">Pastorium rent &amp; maintenance </v>
      </c>
      <c r="C74" s="107">
        <f>Details!Q77</f>
        <v>0</v>
      </c>
      <c r="D74" s="35">
        <f>Details!V77</f>
        <v>0</v>
      </c>
      <c r="E74" s="430">
        <f t="shared" si="1"/>
        <v>0</v>
      </c>
      <c r="F74" s="46">
        <f>Details!W77</f>
        <v>150000</v>
      </c>
      <c r="G74" s="11">
        <v>1207480</v>
      </c>
    </row>
    <row r="75" spans="1:7">
      <c r="A75" s="19"/>
      <c r="B75" s="24" t="str">
        <f>Details!B78</f>
        <v>Pastors Wives' retreat</v>
      </c>
      <c r="C75" s="107">
        <f>Details!Q78</f>
        <v>0</v>
      </c>
      <c r="D75" s="35">
        <f>Details!V78</f>
        <v>0</v>
      </c>
      <c r="E75" s="430">
        <f t="shared" si="1"/>
        <v>0</v>
      </c>
      <c r="F75" s="46">
        <f>Details!W78</f>
        <v>5000</v>
      </c>
      <c r="G75" s="11">
        <v>1468</v>
      </c>
    </row>
    <row r="76" spans="1:7" ht="18.75" customHeight="1">
      <c r="A76" s="19"/>
      <c r="B76" s="26" t="str">
        <f>Details!B79</f>
        <v>Workers' retreat organized by the church</v>
      </c>
      <c r="C76" s="107">
        <f>Details!Q79</f>
        <v>0</v>
      </c>
      <c r="D76" s="35">
        <f>Details!V79</f>
        <v>40000</v>
      </c>
      <c r="E76" s="430"/>
      <c r="F76" s="46">
        <f>Details!W79</f>
        <v>50000</v>
      </c>
      <c r="G76" s="11">
        <v>0</v>
      </c>
    </row>
    <row r="77" spans="1:7">
      <c r="A77" s="19"/>
      <c r="B77" s="24"/>
      <c r="C77" s="107"/>
      <c r="D77" s="35"/>
      <c r="E77" s="430"/>
      <c r="F77" s="46"/>
      <c r="G77" s="11">
        <v>7500</v>
      </c>
    </row>
    <row r="78" spans="1:7">
      <c r="A78" s="19"/>
      <c r="B78" s="27" t="str">
        <f>Details!B81</f>
        <v>D. NEW AUDITORIUM &amp; OTHER PROJECTS</v>
      </c>
      <c r="C78" s="56">
        <f>Details!Q81</f>
        <v>0</v>
      </c>
      <c r="D78" s="63">
        <f>Details!V81</f>
        <v>3855996.88</v>
      </c>
      <c r="E78" s="431">
        <f t="shared" si="1"/>
        <v>0.92870830443159924</v>
      </c>
      <c r="F78" s="345">
        <f>Details!W81</f>
        <v>4152000</v>
      </c>
      <c r="G78" s="11">
        <v>50000</v>
      </c>
    </row>
    <row r="79" spans="1:7">
      <c r="A79" s="19"/>
      <c r="B79" s="24" t="str">
        <f>Details!B82</f>
        <v>Bank charges - Access bank</v>
      </c>
      <c r="C79" s="107">
        <f>Details!Q82</f>
        <v>0</v>
      </c>
      <c r="D79" s="35">
        <f>Details!V82</f>
        <v>4666.88</v>
      </c>
      <c r="E79" s="430">
        <f t="shared" si="1"/>
        <v>2.33344</v>
      </c>
      <c r="F79" s="46">
        <f>Details!W82</f>
        <v>2000</v>
      </c>
      <c r="G79" s="11">
        <v>300000</v>
      </c>
    </row>
    <row r="80" spans="1:7" hidden="1">
      <c r="A80" s="19"/>
      <c r="B80" s="24" t="str">
        <f>Details!B83</f>
        <v>Borehole</v>
      </c>
      <c r="C80" s="107">
        <f>Details!Q83</f>
        <v>0</v>
      </c>
      <c r="D80" s="35">
        <f>Details!V83</f>
        <v>561230</v>
      </c>
      <c r="E80" s="430">
        <f t="shared" si="1"/>
        <v>0.86343076923076922</v>
      </c>
      <c r="F80" s="46">
        <f>Details!W83</f>
        <v>650000</v>
      </c>
      <c r="G80" s="11"/>
    </row>
    <row r="81" spans="1:7" s="399" customFormat="1" hidden="1">
      <c r="A81" s="392"/>
      <c r="B81" s="389" t="str">
        <f>Details!B84</f>
        <v>Development loan refund</v>
      </c>
      <c r="C81" s="424">
        <f>Details!Q84</f>
        <v>0</v>
      </c>
      <c r="D81" s="400">
        <f>Details!V84</f>
        <v>0</v>
      </c>
      <c r="E81" s="432" t="e">
        <f t="shared" si="1"/>
        <v>#DIV/0!</v>
      </c>
      <c r="F81" s="46">
        <f>Details!W84</f>
        <v>0</v>
      </c>
      <c r="G81" s="398">
        <v>1251481.5</v>
      </c>
    </row>
    <row r="82" spans="1:7">
      <c r="A82" s="19"/>
      <c r="B82" s="26" t="str">
        <f>Details!B85</f>
        <v>Gift-in-kind towards church auditorium</v>
      </c>
      <c r="C82" s="95">
        <f>Details!Q85</f>
        <v>0</v>
      </c>
      <c r="D82" s="48">
        <f>Details!V85</f>
        <v>20800</v>
      </c>
      <c r="E82" s="433"/>
      <c r="F82" s="46">
        <f>Details!W85</f>
        <v>0</v>
      </c>
      <c r="G82" s="11">
        <v>834321</v>
      </c>
    </row>
    <row r="83" spans="1:7" ht="30">
      <c r="A83" s="19"/>
      <c r="B83" s="26" t="str">
        <f>Details!B86</f>
        <v>New  auditorium - block work, columns and roof beam</v>
      </c>
      <c r="C83" s="95">
        <f>Details!Q86</f>
        <v>0</v>
      </c>
      <c r="D83" s="48">
        <f>Details!V86</f>
        <v>3269300</v>
      </c>
      <c r="E83" s="433">
        <f t="shared" si="1"/>
        <v>0.9340857142857143</v>
      </c>
      <c r="F83" s="46">
        <f>Details!W86</f>
        <v>3500000</v>
      </c>
      <c r="G83" s="11">
        <v>292012.35000000003</v>
      </c>
    </row>
    <row r="84" spans="1:7">
      <c r="A84" s="19"/>
      <c r="B84" s="26" t="str">
        <f>Details!B87</f>
        <v>Erection of new sign posts</v>
      </c>
      <c r="C84" s="95">
        <f>Details!Q87</f>
        <v>0</v>
      </c>
      <c r="D84" s="48">
        <f>Details!V87</f>
        <v>0</v>
      </c>
      <c r="E84" s="433"/>
      <c r="F84" s="46">
        <f>Details!W87</f>
        <v>0</v>
      </c>
      <c r="G84" s="11">
        <v>125148.15</v>
      </c>
    </row>
    <row r="85" spans="1:7">
      <c r="A85" s="19"/>
      <c r="B85" s="24"/>
      <c r="C85" s="107"/>
      <c r="D85" s="35"/>
      <c r="E85" s="430"/>
      <c r="F85" s="46"/>
      <c r="G85" s="11"/>
    </row>
    <row r="86" spans="1:7">
      <c r="A86" s="19"/>
      <c r="B86" s="25" t="str">
        <f>Details!B89</f>
        <v>E. COOPERATIVE FUNDS</v>
      </c>
      <c r="C86" s="31">
        <f>Details!Q89</f>
        <v>0</v>
      </c>
      <c r="D86" s="50">
        <f>Details!V89</f>
        <v>918475.7</v>
      </c>
      <c r="E86" s="431">
        <f t="shared" si="1"/>
        <v>0.37937864518793885</v>
      </c>
      <c r="F86" s="46">
        <f>Details!W89</f>
        <v>2421000</v>
      </c>
      <c r="G86" s="11">
        <v>260000</v>
      </c>
    </row>
    <row r="87" spans="1:7" ht="30">
      <c r="A87" s="19"/>
      <c r="B87" s="26" t="str">
        <f>Details!B90</f>
        <v>Association contributions - 3% of tithes &amp; SS, thanksgiving and general offerings</v>
      </c>
      <c r="C87" s="107">
        <f>Details!Q90</f>
        <v>0</v>
      </c>
      <c r="D87" s="35">
        <f>Details!V90</f>
        <v>91847.51999999999</v>
      </c>
      <c r="E87" s="430">
        <f t="shared" si="1"/>
        <v>0.37937843866171</v>
      </c>
      <c r="F87" s="46">
        <f>Details!W90</f>
        <v>242100</v>
      </c>
      <c r="G87" s="11">
        <v>0</v>
      </c>
    </row>
    <row r="88" spans="1:7" ht="30">
      <c r="A88" s="19"/>
      <c r="B88" s="26" t="str">
        <f>Details!B91</f>
        <v>Conference contributions - 7% of tithes &amp;  SS, thanksgiving and general offerings</v>
      </c>
      <c r="C88" s="107">
        <f>Details!Q91</f>
        <v>0</v>
      </c>
      <c r="D88" s="35">
        <f>Details!V91</f>
        <v>214310.88</v>
      </c>
      <c r="E88" s="430">
        <f>D88/F88</f>
        <v>0.37937843866171006</v>
      </c>
      <c r="F88" s="46">
        <f>Details!W91</f>
        <v>564900</v>
      </c>
      <c r="G88" s="11">
        <v>260000</v>
      </c>
    </row>
    <row r="89" spans="1:7" ht="30">
      <c r="A89" s="19"/>
      <c r="B89" s="26" t="str">
        <f>Details!B92</f>
        <v>Convention contributions - 20% of tithes &amp; SS, thanksgiving and general  offerings</v>
      </c>
      <c r="C89" s="107">
        <f>Details!Q92</f>
        <v>0</v>
      </c>
      <c r="D89" s="35">
        <f>Details!V92</f>
        <v>612317.30000000005</v>
      </c>
      <c r="E89" s="430">
        <f>D89/F89</f>
        <v>0.37937874845105329</v>
      </c>
      <c r="F89" s="46">
        <f>Details!W92</f>
        <v>1614000</v>
      </c>
      <c r="G89" s="11"/>
    </row>
    <row r="90" spans="1:7">
      <c r="A90" s="19"/>
      <c r="B90" s="27"/>
      <c r="C90" s="31"/>
      <c r="D90" s="50"/>
      <c r="E90" s="431"/>
      <c r="F90" s="46"/>
      <c r="G90" s="11">
        <v>5686261.3200000003</v>
      </c>
    </row>
    <row r="91" spans="1:7">
      <c r="A91" s="19"/>
      <c r="B91" s="27" t="str">
        <f>Details!B94</f>
        <v>F. DESIGNATED SAVINGS</v>
      </c>
      <c r="C91" s="56">
        <f>Details!Q94</f>
        <v>0</v>
      </c>
      <c r="D91" s="87">
        <f>Details!V94</f>
        <v>0</v>
      </c>
      <c r="E91" s="430"/>
      <c r="F91" s="46"/>
      <c r="G91" s="11">
        <v>0</v>
      </c>
    </row>
    <row r="92" spans="1:7">
      <c r="A92" s="19"/>
      <c r="B92" s="24" t="str">
        <f>Details!B95</f>
        <v>Pastorium (rent, development of land etc.)</v>
      </c>
      <c r="C92" s="107">
        <f>Details!Q95</f>
        <v>0</v>
      </c>
      <c r="D92" s="93">
        <f>Details!V95</f>
        <v>0</v>
      </c>
      <c r="E92" s="430"/>
      <c r="F92" s="46"/>
      <c r="G92" s="11">
        <v>0</v>
      </c>
    </row>
    <row r="93" spans="1:7">
      <c r="A93" s="19"/>
      <c r="B93" s="24" t="str">
        <f>Details!B96</f>
        <v>New auditorium</v>
      </c>
      <c r="C93" s="107">
        <f>Details!Q96</f>
        <v>0</v>
      </c>
      <c r="D93" s="93">
        <f>Details!V96</f>
        <v>0</v>
      </c>
      <c r="E93" s="430"/>
      <c r="F93" s="46"/>
      <c r="G93" s="11">
        <v>0</v>
      </c>
    </row>
    <row r="94" spans="1:7">
      <c r="A94" s="19"/>
      <c r="B94" s="24"/>
      <c r="C94" s="107">
        <f>Details!Q97</f>
        <v>0</v>
      </c>
      <c r="D94" s="93"/>
      <c r="E94" s="430"/>
      <c r="F94" s="46"/>
      <c r="G94" s="11">
        <v>0</v>
      </c>
    </row>
    <row r="95" spans="1:7" s="9" customFormat="1">
      <c r="A95" s="158"/>
      <c r="B95" s="25" t="str">
        <f>Details!B98</f>
        <v>Total Expenditure</v>
      </c>
      <c r="C95" s="31">
        <f>Details!Q98</f>
        <v>0</v>
      </c>
      <c r="D95" s="87">
        <f>Details!V98</f>
        <v>7915532.8292500004</v>
      </c>
      <c r="E95" s="431">
        <f>D95/F95</f>
        <v>0.56402492769993562</v>
      </c>
      <c r="F95" s="46">
        <f>Details!W98</f>
        <v>14034012.4</v>
      </c>
      <c r="G95" s="159">
        <v>0</v>
      </c>
    </row>
    <row r="96" spans="1:7" s="399" customFormat="1" ht="30">
      <c r="A96" s="392"/>
      <c r="B96" s="393" t="str">
        <f>Details!B99</f>
        <v>Balances in the church's accounts plus imprest account</v>
      </c>
      <c r="C96" s="425">
        <f>Details!Q99</f>
        <v>0</v>
      </c>
      <c r="D96" s="402">
        <f>Details!V99</f>
        <v>0</v>
      </c>
      <c r="E96" s="432"/>
      <c r="F96" s="46">
        <f>Details!W99</f>
        <v>0</v>
      </c>
      <c r="G96" s="398"/>
    </row>
    <row r="97" spans="1:7">
      <c r="A97" s="19"/>
      <c r="B97" s="26" t="str">
        <f>Details!B100</f>
        <v>First Bank of Nigeria</v>
      </c>
      <c r="C97" s="107">
        <f>Details!Q100</f>
        <v>0</v>
      </c>
      <c r="D97" s="35">
        <f>Details!V100</f>
        <v>0</v>
      </c>
      <c r="E97" s="430"/>
      <c r="F97" s="46">
        <f>Details!W100</f>
        <v>0</v>
      </c>
      <c r="G97" s="11">
        <v>7091172.1099999994</v>
      </c>
    </row>
    <row r="98" spans="1:7">
      <c r="A98" s="19"/>
      <c r="B98" s="24" t="str">
        <f>Details!B101</f>
        <v>Add Cash/Cheque in-transit - FBN</v>
      </c>
      <c r="C98" s="107">
        <f>Details!Q101</f>
        <v>0</v>
      </c>
      <c r="D98" s="35">
        <f>Details!V101</f>
        <v>0</v>
      </c>
      <c r="E98" s="430"/>
      <c r="F98" s="46">
        <f>Details!W101</f>
        <v>0</v>
      </c>
      <c r="G98" s="11">
        <v>1276448</v>
      </c>
    </row>
    <row r="99" spans="1:7">
      <c r="A99" s="19"/>
      <c r="B99" s="26" t="str">
        <f>Details!B102</f>
        <v>Less Unpresented cheques - FBN</v>
      </c>
      <c r="C99" s="95">
        <f>Details!Q102</f>
        <v>0</v>
      </c>
      <c r="D99" s="48">
        <f>Details!V102</f>
        <v>0</v>
      </c>
      <c r="E99" s="433"/>
      <c r="F99" s="46">
        <f>Details!W102</f>
        <v>0</v>
      </c>
      <c r="G99" s="11">
        <v>4209813.32</v>
      </c>
    </row>
    <row r="100" spans="1:7" ht="18.75" customHeight="1">
      <c r="A100" s="1"/>
      <c r="B100" s="26" t="str">
        <f>Details!B103</f>
        <v>Randalpha MFB</v>
      </c>
      <c r="C100" s="107">
        <f>Details!Q103</f>
        <v>0</v>
      </c>
      <c r="D100" s="78">
        <f>Details!V103</f>
        <v>0</v>
      </c>
      <c r="E100" s="436"/>
      <c r="F100" s="46">
        <f>Details!W103</f>
        <v>0</v>
      </c>
      <c r="G100">
        <v>5486261.3200000003</v>
      </c>
    </row>
    <row r="101" spans="1:7">
      <c r="A101" s="1"/>
      <c r="B101" s="26" t="str">
        <f>Details!B104</f>
        <v>Access Bank</v>
      </c>
      <c r="C101" s="107">
        <f>Details!Q104</f>
        <v>0</v>
      </c>
      <c r="D101" s="78">
        <f>Details!V104</f>
        <v>0</v>
      </c>
      <c r="E101" s="436"/>
      <c r="F101" s="46">
        <f>Details!W104</f>
        <v>0</v>
      </c>
    </row>
    <row r="102" spans="1:7">
      <c r="A102" s="1"/>
      <c r="B102" s="26" t="str">
        <f>Details!B105</f>
        <v>Add Cash/Cheque in-transit - Access Bank</v>
      </c>
      <c r="C102" s="95">
        <f>Details!Q105</f>
        <v>0</v>
      </c>
      <c r="D102" s="78">
        <f>Details!V105</f>
        <v>0</v>
      </c>
      <c r="E102" s="436"/>
      <c r="F102" s="46">
        <f>Details!W105</f>
        <v>0</v>
      </c>
    </row>
    <row r="103" spans="1:7">
      <c r="A103" s="1"/>
      <c r="B103" s="26" t="str">
        <f>Details!B106</f>
        <v>Less Uncleared cheque - Access Bank</v>
      </c>
      <c r="C103" s="95">
        <f>Details!Q106</f>
        <v>0</v>
      </c>
      <c r="D103" s="78">
        <f>Details!V106</f>
        <v>0</v>
      </c>
      <c r="E103" s="436"/>
      <c r="F103" s="46">
        <f>Details!W106</f>
        <v>0</v>
      </c>
    </row>
    <row r="104" spans="1:7">
      <c r="A104" s="1"/>
      <c r="B104" s="26" t="str">
        <f>Details!B107</f>
        <v>Imprest account (cash on hand)</v>
      </c>
      <c r="C104" s="95">
        <f>Details!Q107</f>
        <v>0</v>
      </c>
      <c r="D104" s="78">
        <f>Details!V107</f>
        <v>0</v>
      </c>
      <c r="E104" s="436"/>
      <c r="F104" s="46">
        <f>Details!W107</f>
        <v>0</v>
      </c>
    </row>
    <row r="105" spans="1:7">
      <c r="A105" s="1"/>
      <c r="B105" s="25" t="str">
        <f>Details!B108</f>
        <v>CONSOLIDATED INCOME &amp; EXPENDITURE REPORT</v>
      </c>
      <c r="C105" s="95"/>
      <c r="D105" s="78"/>
      <c r="E105" s="436"/>
      <c r="F105" s="46">
        <f>Details!W108</f>
        <v>0</v>
      </c>
    </row>
    <row r="106" spans="1:7" ht="18.75" customHeight="1">
      <c r="A106" s="1"/>
      <c r="B106" s="27" t="str">
        <f>Details!B109</f>
        <v>Income from all sources, including B/F from 2020</v>
      </c>
      <c r="C106" s="56">
        <f>Details!Q109</f>
        <v>0</v>
      </c>
      <c r="D106" s="87">
        <f>Details!V109</f>
        <v>8160163.1500000004</v>
      </c>
      <c r="E106" s="437">
        <f>D106/F106</f>
        <v>0.65330572552695731</v>
      </c>
      <c r="F106" s="46">
        <f>Details!W109</f>
        <v>12490573.450000001</v>
      </c>
    </row>
    <row r="107" spans="1:7">
      <c r="A107" s="1"/>
      <c r="B107" s="27" t="str">
        <f>Details!B110</f>
        <v>Total expenditure on new auditorium</v>
      </c>
      <c r="C107" s="56">
        <f>Details!Q110</f>
        <v>0</v>
      </c>
      <c r="D107" s="8">
        <f>Details!V110</f>
        <v>3294766.88</v>
      </c>
      <c r="E107" s="437">
        <f>D107/F107</f>
        <v>0.94082435179897195</v>
      </c>
      <c r="F107" s="46">
        <f>Details!W110</f>
        <v>3502000</v>
      </c>
    </row>
    <row r="108" spans="1:7" ht="27" customHeight="1">
      <c r="A108" s="1"/>
      <c r="B108" s="27" t="str">
        <f>Details!B111</f>
        <v>General expenditure including amount transferred to building fund</v>
      </c>
      <c r="C108" s="56">
        <f>Details!Q111</f>
        <v>0</v>
      </c>
      <c r="D108" s="87">
        <f>Details!V111</f>
        <v>5320765.9492499996</v>
      </c>
      <c r="E108" s="438">
        <f>D108/F108</f>
        <v>0.37913362177519522</v>
      </c>
      <c r="F108" s="46">
        <f>Details!W111</f>
        <v>14034012.4</v>
      </c>
    </row>
    <row r="109" spans="1:7" ht="30" customHeight="1" thickBot="1">
      <c r="A109" s="1"/>
      <c r="B109" s="409" t="str">
        <f>Details!B112</f>
        <v>Total expenditure: new auditorium &amp; general</v>
      </c>
      <c r="C109" s="56">
        <f>Details!Q112</f>
        <v>0</v>
      </c>
      <c r="D109" s="87">
        <f>Details!V112</f>
        <v>7915532.8292500004</v>
      </c>
      <c r="E109" s="438">
        <f>D109/F109</f>
        <v>0.56402492769993562</v>
      </c>
      <c r="F109" s="378">
        <f>Details!W112</f>
        <v>14034012.4</v>
      </c>
    </row>
    <row r="110" spans="1:7" ht="15.75" thickTop="1">
      <c r="B110" s="403" t="str">
        <f>Details!B113</f>
        <v>Control</v>
      </c>
      <c r="C110" s="412">
        <f>Details!Q113</f>
        <v>0</v>
      </c>
      <c r="D110" s="78">
        <f>D106-D109-D96</f>
        <v>244630.32074999996</v>
      </c>
    </row>
    <row r="111" spans="1:7">
      <c r="B111" s="26">
        <f>Details!B114</f>
        <v>0</v>
      </c>
      <c r="C111" s="403">
        <f>Details!C114</f>
        <v>300000</v>
      </c>
    </row>
  </sheetData>
  <mergeCells count="3">
    <mergeCell ref="A1:E1"/>
    <mergeCell ref="A2:E2"/>
    <mergeCell ref="A3:E3"/>
  </mergeCells>
  <pageMargins left="0.7" right="0.7" top="0.75" bottom="0.75" header="0.3" footer="0.3"/>
  <pageSetup paperSize="9" scale="80" orientation="portrait" r:id="rId1"/>
  <headerFooter>
    <oddFooter>&amp;R&amp;P</oddFooter>
  </headerFooter>
  <rowBreaks count="1" manualBreakCount="1">
    <brk id="59" max="4" man="1"/>
  </rowBreaks>
</worksheet>
</file>

<file path=xl/worksheets/sheet19.xml><?xml version="1.0" encoding="utf-8"?>
<worksheet xmlns="http://schemas.openxmlformats.org/spreadsheetml/2006/main" xmlns:r="http://schemas.openxmlformats.org/officeDocument/2006/relationships">
  <dimension ref="A1:R178"/>
  <sheetViews>
    <sheetView tabSelected="1" view="pageBreakPreview" zoomScaleSheetLayoutView="100" workbookViewId="0">
      <pane xSplit="2" ySplit="4" topLeftCell="F48" activePane="bottomRight" state="frozen"/>
      <selection pane="topRight" activeCell="C1" sqref="C1"/>
      <selection pane="bottomLeft" activeCell="A5" sqref="A5"/>
      <selection pane="bottomRight" activeCell="H54" sqref="H54"/>
    </sheetView>
  </sheetViews>
  <sheetFormatPr defaultColWidth="25.42578125" defaultRowHeight="17.25"/>
  <cols>
    <col min="1" max="1" width="9.85546875" style="12" customWidth="1"/>
    <col min="2" max="2" width="56.28515625" style="16" customWidth="1"/>
    <col min="3" max="3" width="19.42578125" style="12" customWidth="1"/>
    <col min="4" max="4" width="19.140625" style="12" hidden="1" customWidth="1"/>
    <col min="5" max="5" width="13.5703125" style="12" hidden="1" customWidth="1"/>
    <col min="6" max="6" width="21.85546875" style="12" customWidth="1"/>
    <col min="7" max="7" width="20.85546875" style="12" customWidth="1"/>
    <col min="8" max="8" width="10.5703125" style="12" customWidth="1"/>
    <col min="9" max="9" width="21.42578125" style="12" customWidth="1"/>
    <col min="10" max="10" width="20.42578125" style="12" customWidth="1"/>
    <col min="11" max="11" width="19.42578125" style="12" customWidth="1"/>
    <col min="12" max="12" width="19.140625" style="12" customWidth="1"/>
    <col min="13" max="13" width="20.7109375" style="12" customWidth="1"/>
    <col min="14" max="14" width="15.140625" style="12" customWidth="1"/>
    <col min="15" max="16384" width="25.42578125" style="12"/>
  </cols>
  <sheetData>
    <row r="1" spans="1:18">
      <c r="A1" s="738" t="s">
        <v>30</v>
      </c>
      <c r="B1" s="739"/>
      <c r="C1" s="739"/>
      <c r="D1" s="739"/>
      <c r="E1" s="739"/>
      <c r="F1" s="739"/>
      <c r="G1" s="739"/>
      <c r="H1" s="739"/>
      <c r="I1" s="697"/>
      <c r="J1" s="697"/>
      <c r="K1" s="697"/>
      <c r="L1" s="697"/>
      <c r="M1" s="697"/>
      <c r="N1" s="697"/>
      <c r="O1" s="12" t="s">
        <v>146</v>
      </c>
    </row>
    <row r="2" spans="1:18">
      <c r="A2" s="738" t="s">
        <v>240</v>
      </c>
      <c r="B2" s="739"/>
      <c r="C2" s="739"/>
      <c r="D2" s="739"/>
      <c r="E2" s="739"/>
      <c r="F2" s="739"/>
      <c r="G2" s="739"/>
      <c r="H2" s="739"/>
      <c r="I2" s="697"/>
      <c r="J2" s="697"/>
      <c r="K2" s="697"/>
      <c r="L2" s="697"/>
      <c r="M2" s="697"/>
      <c r="N2" s="697"/>
    </row>
    <row r="3" spans="1:18" ht="19.5" thickBot="1">
      <c r="A3" s="766" t="s">
        <v>237</v>
      </c>
      <c r="B3" s="767"/>
      <c r="C3" s="767"/>
      <c r="D3" s="767"/>
      <c r="E3" s="767"/>
      <c r="F3" s="767"/>
      <c r="G3" s="767"/>
      <c r="H3" s="767"/>
      <c r="I3" s="698"/>
      <c r="J3" s="698"/>
      <c r="K3" s="698"/>
      <c r="L3" s="698"/>
      <c r="M3" s="698"/>
      <c r="N3" s="698"/>
    </row>
    <row r="4" spans="1:18" ht="51.75" customHeight="1" thickTop="1">
      <c r="A4" s="126" t="s">
        <v>233</v>
      </c>
      <c r="B4" s="160"/>
      <c r="C4" s="161" t="s">
        <v>226</v>
      </c>
      <c r="D4" s="184" t="s">
        <v>227</v>
      </c>
      <c r="E4" s="334" t="s">
        <v>68</v>
      </c>
      <c r="F4" s="162" t="s">
        <v>238</v>
      </c>
      <c r="G4" s="161" t="s">
        <v>239</v>
      </c>
      <c r="H4" s="334" t="s">
        <v>68</v>
      </c>
      <c r="I4" s="162" t="s">
        <v>168</v>
      </c>
      <c r="J4" s="161" t="s">
        <v>169</v>
      </c>
      <c r="K4" s="427" t="s">
        <v>68</v>
      </c>
      <c r="L4" s="162" t="s">
        <v>170</v>
      </c>
      <c r="M4" s="161" t="s">
        <v>197</v>
      </c>
      <c r="N4" s="427" t="s">
        <v>68</v>
      </c>
    </row>
    <row r="5" spans="1:18">
      <c r="A5" s="66"/>
      <c r="B5" s="14" t="s">
        <v>40</v>
      </c>
      <c r="C5" s="772" t="s">
        <v>31</v>
      </c>
      <c r="D5" s="772"/>
      <c r="E5" s="170"/>
      <c r="F5" s="771" t="s">
        <v>31</v>
      </c>
      <c r="G5" s="772"/>
      <c r="H5" s="170"/>
      <c r="I5" s="771" t="s">
        <v>31</v>
      </c>
      <c r="J5" s="772"/>
      <c r="K5" s="170"/>
      <c r="L5" s="771" t="s">
        <v>31</v>
      </c>
      <c r="M5" s="772"/>
      <c r="N5" s="173"/>
    </row>
    <row r="6" spans="1:18">
      <c r="A6" s="66">
        <v>6</v>
      </c>
      <c r="B6" s="67" t="str">
        <f>Details!B6</f>
        <v>Bank interest</v>
      </c>
      <c r="C6" s="13">
        <f>Details!F6</f>
        <v>185.16</v>
      </c>
      <c r="D6" s="13">
        <f>Details!S6</f>
        <v>185.16</v>
      </c>
      <c r="E6" s="335">
        <f>D6/$O6</f>
        <v>0.30859999999999999</v>
      </c>
      <c r="F6" s="112">
        <f>Details!J6</f>
        <v>343.53999999999996</v>
      </c>
      <c r="G6" s="13">
        <f>Details!T6</f>
        <v>528.69999999999993</v>
      </c>
      <c r="H6" s="335">
        <f>G6/$O6</f>
        <v>0.88116666666666654</v>
      </c>
      <c r="I6" s="97">
        <f>Details!N6</f>
        <v>0</v>
      </c>
      <c r="J6" s="13">
        <f>Details!U6</f>
        <v>528.69999999999993</v>
      </c>
      <c r="K6" s="335">
        <f>J6/$O6</f>
        <v>0.88116666666666654</v>
      </c>
      <c r="L6" s="516">
        <f>Details!R6</f>
        <v>0</v>
      </c>
      <c r="M6" s="13">
        <f>Details!V6</f>
        <v>528.69999999999993</v>
      </c>
      <c r="N6" s="335">
        <f>M6/$O6</f>
        <v>0.88116666666666654</v>
      </c>
      <c r="O6" s="336">
        <f>Details!W6</f>
        <v>600</v>
      </c>
    </row>
    <row r="7" spans="1:18">
      <c r="A7" s="66">
        <v>7</v>
      </c>
      <c r="B7" s="67" t="str">
        <f>Details!B7</f>
        <v>Benevolence</v>
      </c>
      <c r="C7" s="13">
        <f>Details!F7</f>
        <v>62115</v>
      </c>
      <c r="D7" s="13">
        <f>Details!S7</f>
        <v>62115</v>
      </c>
      <c r="E7" s="335">
        <f t="shared" ref="E7:E70" si="0">D7/$O7</f>
        <v>0.41410000000000002</v>
      </c>
      <c r="F7" s="112">
        <f>Details!J7</f>
        <v>59655</v>
      </c>
      <c r="G7" s="185">
        <f>Details!T7</f>
        <v>121770</v>
      </c>
      <c r="H7" s="335">
        <f>G7/$O7</f>
        <v>0.81179999999999997</v>
      </c>
      <c r="I7" s="112">
        <f>Details!M7</f>
        <v>0</v>
      </c>
      <c r="J7" s="13">
        <f>Details!W7</f>
        <v>150000</v>
      </c>
      <c r="K7" s="335">
        <f t="shared" ref="K7:K70" si="1">J7/$O7</f>
        <v>1</v>
      </c>
      <c r="L7" s="97">
        <f>Details!Q7</f>
        <v>0</v>
      </c>
      <c r="M7" s="13">
        <f>Details!V7</f>
        <v>121770</v>
      </c>
      <c r="N7" s="335">
        <f t="shared" ref="N7:N70" si="2">M7/$O7</f>
        <v>0.81179999999999997</v>
      </c>
      <c r="O7" s="336">
        <f>Details!W7</f>
        <v>150000</v>
      </c>
      <c r="P7" s="13">
        <f>Details!Y7</f>
        <v>0</v>
      </c>
      <c r="Q7" s="335">
        <f t="shared" ref="Q7:Q70" si="3">P7/$O7</f>
        <v>0</v>
      </c>
      <c r="R7" s="336">
        <f>Details!Z7</f>
        <v>128265</v>
      </c>
    </row>
    <row r="8" spans="1:18">
      <c r="A8" s="66">
        <v>8</v>
      </c>
      <c r="B8" s="67" t="str">
        <f>Details!B8</f>
        <v>Building (cash and kind)</v>
      </c>
      <c r="C8" s="13">
        <f>Details!F8</f>
        <v>42800</v>
      </c>
      <c r="D8" s="13">
        <f>Details!S8</f>
        <v>42800</v>
      </c>
      <c r="E8" s="335">
        <f t="shared" si="0"/>
        <v>2.1399999999999999E-2</v>
      </c>
      <c r="F8" s="112">
        <f>Details!J8</f>
        <v>901000</v>
      </c>
      <c r="G8" s="185">
        <f>Details!T8</f>
        <v>943800</v>
      </c>
      <c r="H8" s="335">
        <f t="shared" ref="H8:H71" si="4">G8/$O8</f>
        <v>0.47189999999999999</v>
      </c>
      <c r="I8" s="112">
        <f>Details!M8</f>
        <v>0</v>
      </c>
      <c r="J8" s="13">
        <f>Details!W8</f>
        <v>2000000</v>
      </c>
      <c r="K8" s="335">
        <f t="shared" si="1"/>
        <v>1</v>
      </c>
      <c r="L8" s="97">
        <f>Details!Q8</f>
        <v>0</v>
      </c>
      <c r="M8" s="13">
        <f>Details!V8</f>
        <v>943800</v>
      </c>
      <c r="N8" s="335">
        <f t="shared" si="2"/>
        <v>0.47189999999999999</v>
      </c>
      <c r="O8" s="336">
        <f>Details!W8</f>
        <v>2000000</v>
      </c>
      <c r="P8" s="13">
        <f>Details!Y8</f>
        <v>0</v>
      </c>
      <c r="Q8" s="335">
        <f t="shared" si="3"/>
        <v>0</v>
      </c>
      <c r="R8" s="336">
        <f>Details!Z8</f>
        <v>1076206.57</v>
      </c>
    </row>
    <row r="9" spans="1:18" s="407" customFormat="1">
      <c r="A9" s="66">
        <v>9</v>
      </c>
      <c r="B9" s="67" t="str">
        <f>Details!B9</f>
        <v>Designated offering towards borehole</v>
      </c>
      <c r="C9" s="13">
        <f>Details!F9</f>
        <v>418000</v>
      </c>
      <c r="D9" s="65">
        <f>Details!S9</f>
        <v>418000</v>
      </c>
      <c r="E9" s="335">
        <f t="shared" si="0"/>
        <v>4.18</v>
      </c>
      <c r="F9" s="112">
        <f>Details!J9</f>
        <v>0</v>
      </c>
      <c r="G9" s="185">
        <f>Details!T9</f>
        <v>418000</v>
      </c>
      <c r="H9" s="335">
        <f t="shared" si="4"/>
        <v>4.18</v>
      </c>
      <c r="I9" s="112">
        <f>Details!M9</f>
        <v>0</v>
      </c>
      <c r="J9" s="13">
        <f>Details!W9</f>
        <v>100000</v>
      </c>
      <c r="K9" s="335">
        <f t="shared" si="1"/>
        <v>1</v>
      </c>
      <c r="L9" s="97">
        <f>Details!Q9</f>
        <v>0</v>
      </c>
      <c r="M9" s="13">
        <f>Details!V9</f>
        <v>418000</v>
      </c>
      <c r="N9" s="335">
        <f t="shared" si="2"/>
        <v>4.18</v>
      </c>
      <c r="O9" s="336">
        <f>Details!W9</f>
        <v>100000</v>
      </c>
      <c r="P9" s="13">
        <f>Details!Y9</f>
        <v>0</v>
      </c>
      <c r="Q9" s="335">
        <f t="shared" si="3"/>
        <v>0</v>
      </c>
      <c r="R9" s="336">
        <f>Details!Z9</f>
        <v>138000</v>
      </c>
    </row>
    <row r="10" spans="1:18" ht="16.5" hidden="1" customHeight="1">
      <c r="A10" s="66">
        <v>10</v>
      </c>
      <c r="B10" s="71" t="str">
        <f>Details!B10</f>
        <v>Designated offering towards Praise Festival</v>
      </c>
      <c r="C10" s="13">
        <f>Details!F10</f>
        <v>0</v>
      </c>
      <c r="D10" s="13">
        <f>Details!S10</f>
        <v>0</v>
      </c>
      <c r="E10" s="335"/>
      <c r="F10" s="113">
        <f>Details!J10</f>
        <v>0</v>
      </c>
      <c r="G10" s="187">
        <f>Details!T10</f>
        <v>0</v>
      </c>
      <c r="H10" s="338" t="e">
        <f t="shared" si="4"/>
        <v>#DIV/0!</v>
      </c>
      <c r="I10" s="113">
        <f>Details!M10</f>
        <v>0</v>
      </c>
      <c r="J10" s="65">
        <f>Details!W10</f>
        <v>0</v>
      </c>
      <c r="K10" s="338" t="e">
        <f t="shared" si="1"/>
        <v>#DIV/0!</v>
      </c>
      <c r="L10" s="111">
        <f>Details!Q10</f>
        <v>0</v>
      </c>
      <c r="M10" s="13">
        <f>Details!V10</f>
        <v>0</v>
      </c>
      <c r="N10" s="338"/>
      <c r="O10" s="336">
        <f>Details!W10</f>
        <v>0</v>
      </c>
      <c r="P10" s="13">
        <f>Details!Y10</f>
        <v>0</v>
      </c>
      <c r="Q10" s="335" t="e">
        <f t="shared" si="3"/>
        <v>#DIV/0!</v>
      </c>
      <c r="R10" s="336">
        <f>Details!Z10</f>
        <v>0</v>
      </c>
    </row>
    <row r="11" spans="1:18">
      <c r="A11" s="66">
        <v>11</v>
      </c>
      <c r="B11" s="67" t="str">
        <f>Details!B11</f>
        <v>Foreign Mission offering</v>
      </c>
      <c r="C11" s="13">
        <f>Details!F11</f>
        <v>0</v>
      </c>
      <c r="D11" s="13">
        <f>Details!S11</f>
        <v>0</v>
      </c>
      <c r="E11" s="335"/>
      <c r="F11" s="112">
        <f>Details!J11</f>
        <v>0</v>
      </c>
      <c r="G11" s="185">
        <f>Details!T11</f>
        <v>0</v>
      </c>
      <c r="H11" s="335"/>
      <c r="I11" s="112">
        <f>Details!M11</f>
        <v>0</v>
      </c>
      <c r="J11" s="13">
        <f>Details!W11</f>
        <v>0</v>
      </c>
      <c r="K11" s="335" t="e">
        <f t="shared" si="1"/>
        <v>#DIV/0!</v>
      </c>
      <c r="L11" s="97">
        <f>Details!Q11</f>
        <v>0</v>
      </c>
      <c r="M11" s="13">
        <f>Details!V11</f>
        <v>0</v>
      </c>
      <c r="N11" s="335"/>
      <c r="O11" s="336">
        <f>Details!W11</f>
        <v>0</v>
      </c>
      <c r="P11" s="13">
        <f>Details!Y11</f>
        <v>0</v>
      </c>
      <c r="Q11" s="335" t="e">
        <f t="shared" si="3"/>
        <v>#DIV/0!</v>
      </c>
      <c r="R11" s="336">
        <f>Details!Z11</f>
        <v>0</v>
      </c>
    </row>
    <row r="12" spans="1:18">
      <c r="A12" s="66">
        <v>12</v>
      </c>
      <c r="B12" s="67" t="str">
        <f>Details!B12</f>
        <v>Home Mission offering</v>
      </c>
      <c r="C12" s="13">
        <f>Details!F12</f>
        <v>100000</v>
      </c>
      <c r="D12" s="13">
        <f>Details!S12</f>
        <v>100000</v>
      </c>
      <c r="E12" s="335">
        <f t="shared" si="0"/>
        <v>0.33333333333333331</v>
      </c>
      <c r="F12" s="112">
        <f>Details!J12</f>
        <v>0</v>
      </c>
      <c r="G12" s="185">
        <f>Details!T12</f>
        <v>100000</v>
      </c>
      <c r="H12" s="335">
        <f t="shared" si="4"/>
        <v>0.33333333333333331</v>
      </c>
      <c r="I12" s="112">
        <f>Details!M12</f>
        <v>0</v>
      </c>
      <c r="J12" s="13">
        <f>Details!W12</f>
        <v>300000</v>
      </c>
      <c r="K12" s="335">
        <f t="shared" si="1"/>
        <v>1</v>
      </c>
      <c r="L12" s="97">
        <f>Details!Q12</f>
        <v>0</v>
      </c>
      <c r="M12" s="13">
        <f>Details!V12</f>
        <v>100000</v>
      </c>
      <c r="N12" s="335"/>
      <c r="O12" s="336">
        <f>Details!W12</f>
        <v>300000</v>
      </c>
      <c r="P12" s="13">
        <f>Details!Y12</f>
        <v>0</v>
      </c>
      <c r="Q12" s="335">
        <f t="shared" si="3"/>
        <v>0</v>
      </c>
      <c r="R12" s="336">
        <f>Details!Z12</f>
        <v>0</v>
      </c>
    </row>
    <row r="13" spans="1:18" hidden="1">
      <c r="A13" s="66">
        <v>13</v>
      </c>
      <c r="B13" s="67" t="str">
        <f>Details!B13</f>
        <v>Designated - Church signpost</v>
      </c>
      <c r="C13" s="13">
        <f>Details!F13</f>
        <v>0</v>
      </c>
      <c r="D13" s="13">
        <f>Details!S13</f>
        <v>0</v>
      </c>
      <c r="E13" s="335"/>
      <c r="F13" s="112">
        <f>Details!J13</f>
        <v>0</v>
      </c>
      <c r="G13" s="185">
        <f>Details!T13</f>
        <v>0</v>
      </c>
      <c r="H13" s="335" t="e">
        <f t="shared" si="4"/>
        <v>#DIV/0!</v>
      </c>
      <c r="I13" s="112">
        <f>Details!M13</f>
        <v>0</v>
      </c>
      <c r="J13" s="13">
        <f>Details!W13</f>
        <v>0</v>
      </c>
      <c r="K13" s="335" t="e">
        <f t="shared" si="1"/>
        <v>#DIV/0!</v>
      </c>
      <c r="L13" s="97">
        <f>Details!Q13</f>
        <v>0</v>
      </c>
      <c r="M13" s="13">
        <f>Details!V13</f>
        <v>0</v>
      </c>
      <c r="N13" s="335"/>
      <c r="O13" s="336">
        <f>Details!W13</f>
        <v>0</v>
      </c>
      <c r="P13" s="13">
        <f>Details!Y13</f>
        <v>0</v>
      </c>
      <c r="Q13" s="335" t="e">
        <f t="shared" si="3"/>
        <v>#DIV/0!</v>
      </c>
      <c r="R13" s="336">
        <f>Details!Z13</f>
        <v>0</v>
      </c>
    </row>
    <row r="14" spans="1:18">
      <c r="A14" s="66">
        <v>14</v>
      </c>
      <c r="B14" s="67" t="str">
        <f>Details!B14</f>
        <v>Designated - Teenagers' Church</v>
      </c>
      <c r="C14" s="13">
        <f>Details!F14</f>
        <v>0</v>
      </c>
      <c r="D14" s="13">
        <f>Details!S14</f>
        <v>0</v>
      </c>
      <c r="E14" s="335">
        <f t="shared" si="0"/>
        <v>0</v>
      </c>
      <c r="F14" s="112">
        <f>Details!J14</f>
        <v>0</v>
      </c>
      <c r="G14" s="185">
        <f>Details!T14</f>
        <v>0</v>
      </c>
      <c r="H14" s="335">
        <f t="shared" si="4"/>
        <v>0</v>
      </c>
      <c r="I14" s="112">
        <f>Details!M14</f>
        <v>0</v>
      </c>
      <c r="J14" s="13">
        <f>Details!W14</f>
        <v>50000</v>
      </c>
      <c r="K14" s="335">
        <f t="shared" si="1"/>
        <v>1</v>
      </c>
      <c r="L14" s="97">
        <f>Details!Q14</f>
        <v>0</v>
      </c>
      <c r="M14" s="13">
        <f>Details!V14</f>
        <v>0</v>
      </c>
      <c r="N14" s="335"/>
      <c r="O14" s="336">
        <f>Details!W14</f>
        <v>50000</v>
      </c>
      <c r="P14" s="13">
        <f>Details!Y14</f>
        <v>0</v>
      </c>
      <c r="Q14" s="335">
        <f t="shared" si="3"/>
        <v>0</v>
      </c>
      <c r="R14" s="336">
        <f>Details!Z14</f>
        <v>10685</v>
      </c>
    </row>
    <row r="15" spans="1:18">
      <c r="A15" s="66">
        <v>15</v>
      </c>
      <c r="B15" s="67" t="str">
        <f>Details!B15</f>
        <v>Offering</v>
      </c>
      <c r="C15" s="13">
        <f>Details!F15</f>
        <v>269335</v>
      </c>
      <c r="D15" s="13">
        <f>Details!S15</f>
        <v>269335</v>
      </c>
      <c r="E15" s="335">
        <f t="shared" si="0"/>
        <v>0.26933499999999999</v>
      </c>
      <c r="F15" s="112">
        <f>Details!J15</f>
        <v>329480</v>
      </c>
      <c r="G15" s="185">
        <f>Details!T15</f>
        <v>598815</v>
      </c>
      <c r="H15" s="335">
        <f t="shared" si="4"/>
        <v>0.59881499999999999</v>
      </c>
      <c r="I15" s="112">
        <f>Details!M15</f>
        <v>0</v>
      </c>
      <c r="J15" s="13">
        <f>Details!W15</f>
        <v>1000000</v>
      </c>
      <c r="K15" s="335">
        <f t="shared" si="1"/>
        <v>1</v>
      </c>
      <c r="L15" s="97">
        <f>Details!Q15</f>
        <v>0</v>
      </c>
      <c r="M15" s="13">
        <f>Details!V15</f>
        <v>598815</v>
      </c>
      <c r="N15" s="335">
        <f t="shared" si="2"/>
        <v>0.59881499999999999</v>
      </c>
      <c r="O15" s="336">
        <f>Details!W15</f>
        <v>1000000</v>
      </c>
      <c r="P15" s="13">
        <f>Details!Y15</f>
        <v>0</v>
      </c>
      <c r="Q15" s="335">
        <f t="shared" si="3"/>
        <v>0</v>
      </c>
      <c r="R15" s="336">
        <f>Details!Z15</f>
        <v>965885</v>
      </c>
    </row>
    <row r="16" spans="1:18">
      <c r="A16" s="66">
        <v>16</v>
      </c>
      <c r="B16" s="67" t="str">
        <f>Details!B16</f>
        <v xml:space="preserve">Sunday School </v>
      </c>
      <c r="C16" s="13">
        <f>Details!F16</f>
        <v>60365</v>
      </c>
      <c r="D16" s="13">
        <f>Details!S16</f>
        <v>60365</v>
      </c>
      <c r="E16" s="335">
        <f t="shared" si="0"/>
        <v>0.35508823529411765</v>
      </c>
      <c r="F16" s="112">
        <f>Details!J16</f>
        <v>65065</v>
      </c>
      <c r="G16" s="185">
        <f>Details!T16</f>
        <v>125430</v>
      </c>
      <c r="H16" s="335">
        <f t="shared" si="4"/>
        <v>0.73782352941176466</v>
      </c>
      <c r="I16" s="112">
        <f>Details!M16</f>
        <v>0</v>
      </c>
      <c r="J16" s="13">
        <f>Details!W16</f>
        <v>170000</v>
      </c>
      <c r="K16" s="335">
        <f t="shared" si="1"/>
        <v>1</v>
      </c>
      <c r="L16" s="97">
        <f>Details!Q16</f>
        <v>0</v>
      </c>
      <c r="M16" s="13">
        <f>Details!V16</f>
        <v>125430</v>
      </c>
      <c r="N16" s="335">
        <f t="shared" si="2"/>
        <v>0.73782352941176466</v>
      </c>
      <c r="O16" s="336">
        <f>Details!W16</f>
        <v>170000</v>
      </c>
      <c r="P16" s="13">
        <f>Details!Y16</f>
        <v>0</v>
      </c>
      <c r="Q16" s="335">
        <f t="shared" si="3"/>
        <v>0</v>
      </c>
      <c r="R16" s="336">
        <f>Details!Z16</f>
        <v>160480</v>
      </c>
    </row>
    <row r="17" spans="1:18">
      <c r="A17" s="66">
        <v>17</v>
      </c>
      <c r="B17" s="67" t="str">
        <f>Details!B17</f>
        <v>Thanksgiving</v>
      </c>
      <c r="C17" s="13">
        <f>Details!F17</f>
        <v>125630</v>
      </c>
      <c r="D17" s="13">
        <f>Details!S17</f>
        <v>125630</v>
      </c>
      <c r="E17" s="335">
        <f t="shared" si="0"/>
        <v>0.31407499999999999</v>
      </c>
      <c r="F17" s="112">
        <f>Details!J17</f>
        <v>298245</v>
      </c>
      <c r="G17" s="185">
        <f>Details!T17</f>
        <v>423875</v>
      </c>
      <c r="H17" s="335">
        <f t="shared" si="4"/>
        <v>1.0596874999999999</v>
      </c>
      <c r="I17" s="112">
        <f>Details!M17</f>
        <v>0</v>
      </c>
      <c r="J17" s="13">
        <f>Details!W17</f>
        <v>400000</v>
      </c>
      <c r="K17" s="335">
        <f t="shared" si="1"/>
        <v>1</v>
      </c>
      <c r="L17" s="97">
        <f>Details!Q17</f>
        <v>0</v>
      </c>
      <c r="M17" s="13">
        <f>Details!V17</f>
        <v>423875</v>
      </c>
      <c r="N17" s="335">
        <f t="shared" si="2"/>
        <v>1.0596874999999999</v>
      </c>
      <c r="O17" s="336">
        <f>Details!W17</f>
        <v>400000</v>
      </c>
      <c r="P17" s="13">
        <f>Details!Y17</f>
        <v>0</v>
      </c>
      <c r="Q17" s="335">
        <f t="shared" si="3"/>
        <v>0</v>
      </c>
      <c r="R17" s="336">
        <f>Details!Z17</f>
        <v>446265</v>
      </c>
    </row>
    <row r="18" spans="1:18">
      <c r="A18" s="66">
        <v>18</v>
      </c>
      <c r="B18" s="67" t="str">
        <f>Details!B18</f>
        <v>Tithes</v>
      </c>
      <c r="C18" s="13">
        <f>Details!F18</f>
        <v>1901167</v>
      </c>
      <c r="D18" s="13">
        <f>Details!S18</f>
        <v>1901167</v>
      </c>
      <c r="E18" s="335">
        <f t="shared" si="0"/>
        <v>0.29248723076923078</v>
      </c>
      <c r="F18" s="112">
        <f>Details!J18</f>
        <v>1706804</v>
      </c>
      <c r="G18" s="185">
        <f>Details!T18</f>
        <v>3607971</v>
      </c>
      <c r="H18" s="335">
        <f t="shared" si="4"/>
        <v>0.55507246153846157</v>
      </c>
      <c r="I18" s="112">
        <f>Details!M18</f>
        <v>0</v>
      </c>
      <c r="J18" s="13">
        <f>Details!W18</f>
        <v>6500000</v>
      </c>
      <c r="K18" s="335">
        <f t="shared" si="1"/>
        <v>1</v>
      </c>
      <c r="L18" s="97">
        <f>Details!Q18</f>
        <v>0</v>
      </c>
      <c r="M18" s="13">
        <f>Details!V18</f>
        <v>3607971</v>
      </c>
      <c r="N18" s="335">
        <f t="shared" si="2"/>
        <v>0.55507246153846157</v>
      </c>
      <c r="O18" s="336">
        <f>Details!W18</f>
        <v>6500000</v>
      </c>
      <c r="P18" s="13">
        <f>Details!Y18</f>
        <v>0</v>
      </c>
      <c r="Q18" s="335">
        <f t="shared" si="3"/>
        <v>0</v>
      </c>
      <c r="R18" s="336">
        <f>Details!Z18</f>
        <v>5912447</v>
      </c>
    </row>
    <row r="19" spans="1:18">
      <c r="A19" s="66">
        <v>19</v>
      </c>
      <c r="B19" s="69" t="str">
        <f>Details!B19</f>
        <v>Total income this reporting period</v>
      </c>
      <c r="C19" s="14">
        <f>Details!F19</f>
        <v>2979597.16</v>
      </c>
      <c r="D19" s="710">
        <f>Details!S19</f>
        <v>2979597.16</v>
      </c>
      <c r="E19" s="337">
        <f t="shared" si="0"/>
        <v>0.27923426611437036</v>
      </c>
      <c r="F19" s="114">
        <f>Details!J19</f>
        <v>3360592.54</v>
      </c>
      <c r="G19" s="186">
        <f>Details!T19</f>
        <v>6340189.7000000002</v>
      </c>
      <c r="H19" s="337">
        <f t="shared" si="4"/>
        <v>0.59417368282945671</v>
      </c>
      <c r="I19" s="114">
        <f>Details!M19</f>
        <v>0</v>
      </c>
      <c r="J19" s="14">
        <f>Details!W19</f>
        <v>10670600</v>
      </c>
      <c r="K19" s="337">
        <f t="shared" si="1"/>
        <v>1</v>
      </c>
      <c r="L19" s="98">
        <f>Details!Q19</f>
        <v>0</v>
      </c>
      <c r="M19" s="13">
        <f>Details!V19</f>
        <v>6340189.7000000002</v>
      </c>
      <c r="N19" s="337">
        <f t="shared" si="2"/>
        <v>0.59417368282945671</v>
      </c>
      <c r="O19" s="336">
        <f>Details!W19</f>
        <v>10670600</v>
      </c>
      <c r="P19" s="13">
        <f>Details!Y19</f>
        <v>0</v>
      </c>
      <c r="Q19" s="335">
        <f t="shared" si="3"/>
        <v>0</v>
      </c>
      <c r="R19" s="336">
        <f>Details!Z19</f>
        <v>8839102.7599999998</v>
      </c>
    </row>
    <row r="20" spans="1:18">
      <c r="A20" s="66">
        <v>20</v>
      </c>
      <c r="B20" s="75" t="str">
        <f>Details!B20</f>
        <v>B/F from previous month/quarter: First Bank of Nigeria</v>
      </c>
      <c r="C20" s="13">
        <f>Details!F20</f>
        <v>286762.07</v>
      </c>
      <c r="D20" s="68">
        <f>Details!S20</f>
        <v>286762.07</v>
      </c>
      <c r="E20" s="335"/>
      <c r="F20" s="112">
        <f>Details!J20</f>
        <v>105249.60999999999</v>
      </c>
      <c r="G20" s="185">
        <f>Details!T20</f>
        <v>286762.07</v>
      </c>
      <c r="H20" s="335">
        <f t="shared" si="4"/>
        <v>1</v>
      </c>
      <c r="I20" s="112">
        <f>Details!M20</f>
        <v>0</v>
      </c>
      <c r="J20" s="13">
        <f>Details!W20</f>
        <v>286762.07</v>
      </c>
      <c r="K20" s="335">
        <f t="shared" si="1"/>
        <v>1</v>
      </c>
      <c r="L20" s="97">
        <f>Details!Q20</f>
        <v>0</v>
      </c>
      <c r="M20" s="13">
        <f>Details!V20</f>
        <v>286762.07</v>
      </c>
      <c r="N20" s="335"/>
      <c r="O20" s="336">
        <f>Details!W20</f>
        <v>286762.07</v>
      </c>
      <c r="P20" s="13">
        <f>Details!Y20</f>
        <v>0</v>
      </c>
      <c r="Q20" s="335">
        <f t="shared" si="3"/>
        <v>0</v>
      </c>
      <c r="R20" s="336">
        <f>Details!Z20</f>
        <v>156556.89999999997</v>
      </c>
    </row>
    <row r="21" spans="1:18">
      <c r="A21" s="66">
        <v>21</v>
      </c>
      <c r="B21" s="75" t="str">
        <f>Details!B21</f>
        <v xml:space="preserve">                               Randalapha MFB</v>
      </c>
      <c r="C21" s="13">
        <f>Details!F21</f>
        <v>16787.310000000001</v>
      </c>
      <c r="D21" s="68">
        <f>Details!S21</f>
        <v>16787.310000000001</v>
      </c>
      <c r="E21" s="335"/>
      <c r="F21" s="112">
        <f>Details!J21</f>
        <v>58905.95</v>
      </c>
      <c r="G21" s="185">
        <f>Details!T21</f>
        <v>16787.310000000001</v>
      </c>
      <c r="H21" s="335">
        <f t="shared" si="4"/>
        <v>1</v>
      </c>
      <c r="I21" s="112">
        <f>Details!M21</f>
        <v>0</v>
      </c>
      <c r="J21" s="13">
        <f>Details!W21</f>
        <v>16787.310000000001</v>
      </c>
      <c r="K21" s="335">
        <f t="shared" si="1"/>
        <v>1</v>
      </c>
      <c r="L21" s="97">
        <f>Details!Q21</f>
        <v>0</v>
      </c>
      <c r="M21" s="13">
        <f>Details!V21</f>
        <v>16787.310000000001</v>
      </c>
      <c r="N21" s="335"/>
      <c r="O21" s="336">
        <f>Details!W21</f>
        <v>16787.310000000001</v>
      </c>
      <c r="P21" s="13">
        <f>Details!Y21</f>
        <v>0</v>
      </c>
      <c r="Q21" s="335">
        <f t="shared" si="3"/>
        <v>0</v>
      </c>
      <c r="R21" s="336">
        <f>Details!Z21</f>
        <v>39888.36</v>
      </c>
    </row>
    <row r="22" spans="1:18">
      <c r="A22" s="66">
        <v>22</v>
      </c>
      <c r="B22" s="75" t="str">
        <f>Details!B22</f>
        <v xml:space="preserve">                               Access Bank (Building fund)</v>
      </c>
      <c r="C22" s="13">
        <f>Details!F22</f>
        <v>1513424.07</v>
      </c>
      <c r="D22" s="68">
        <f>Details!S22</f>
        <v>1513424.07</v>
      </c>
      <c r="E22" s="335"/>
      <c r="F22" s="112">
        <f>Details!J22</f>
        <v>185568.19</v>
      </c>
      <c r="G22" s="185">
        <f>Details!T22</f>
        <v>1513424.07</v>
      </c>
      <c r="H22" s="335">
        <f t="shared" si="4"/>
        <v>1</v>
      </c>
      <c r="I22" s="112">
        <f>Details!M22</f>
        <v>0</v>
      </c>
      <c r="J22" s="13">
        <f>Details!W22</f>
        <v>1513424.07</v>
      </c>
      <c r="K22" s="335">
        <f t="shared" si="1"/>
        <v>1</v>
      </c>
      <c r="L22" s="97">
        <f>Details!Q22</f>
        <v>0</v>
      </c>
      <c r="M22" s="13">
        <f>Details!V22</f>
        <v>1513424.07</v>
      </c>
      <c r="N22" s="335"/>
      <c r="O22" s="336">
        <f>Details!W22</f>
        <v>1513424.07</v>
      </c>
      <c r="P22" s="13">
        <f>Details!Y22</f>
        <v>0</v>
      </c>
      <c r="Q22" s="335">
        <f t="shared" si="3"/>
        <v>0</v>
      </c>
      <c r="R22" s="336">
        <f>Details!Z22</f>
        <v>531235.5</v>
      </c>
    </row>
    <row r="23" spans="1:18">
      <c r="A23" s="66">
        <v>23</v>
      </c>
      <c r="B23" s="75" t="str">
        <f>Details!B23</f>
        <v xml:space="preserve">                               Imprest Account (Cash on hand)</v>
      </c>
      <c r="C23" s="13">
        <f>Details!F23</f>
        <v>3000</v>
      </c>
      <c r="D23" s="96">
        <f>Details!S23</f>
        <v>3000</v>
      </c>
      <c r="E23" s="338"/>
      <c r="F23" s="112">
        <f>Details!J23</f>
        <v>1000</v>
      </c>
      <c r="G23" s="185">
        <f>Details!T23</f>
        <v>3000</v>
      </c>
      <c r="H23" s="335">
        <f t="shared" si="4"/>
        <v>1</v>
      </c>
      <c r="I23" s="112">
        <f>Details!M23</f>
        <v>0</v>
      </c>
      <c r="J23" s="13">
        <f>Details!W23</f>
        <v>3000</v>
      </c>
      <c r="K23" s="335">
        <f t="shared" si="1"/>
        <v>1</v>
      </c>
      <c r="L23" s="97">
        <f>Details!Q23</f>
        <v>0</v>
      </c>
      <c r="M23" s="13">
        <f>Details!V23</f>
        <v>3000</v>
      </c>
      <c r="N23" s="335"/>
      <c r="O23" s="336">
        <f>Details!W23</f>
        <v>3000</v>
      </c>
      <c r="P23" s="13">
        <f>Details!Y23</f>
        <v>0</v>
      </c>
      <c r="Q23" s="335">
        <f t="shared" si="3"/>
        <v>0</v>
      </c>
      <c r="R23" s="336">
        <f>Details!Z23</f>
        <v>4190</v>
      </c>
    </row>
    <row r="24" spans="1:18" s="40" customFormat="1">
      <c r="A24" s="66">
        <v>24</v>
      </c>
      <c r="B24" s="67" t="str">
        <f>Details!B24</f>
        <v>Total B/F from 2020 or last month or quarter</v>
      </c>
      <c r="C24" s="13">
        <f>Details!F24</f>
        <v>1819973.4500000002</v>
      </c>
      <c r="D24" s="13">
        <f>Details!S24</f>
        <v>1819973.4500000002</v>
      </c>
      <c r="E24" s="335"/>
      <c r="F24" s="112">
        <f>Details!J24</f>
        <v>350723.75</v>
      </c>
      <c r="G24" s="185">
        <f>Details!T24</f>
        <v>1819973.4500000002</v>
      </c>
      <c r="H24" s="335">
        <f t="shared" si="4"/>
        <v>1</v>
      </c>
      <c r="I24" s="112">
        <f>Details!M24</f>
        <v>0</v>
      </c>
      <c r="J24" s="13">
        <f>Details!W24</f>
        <v>1819973.4500000002</v>
      </c>
      <c r="K24" s="335">
        <f t="shared" si="1"/>
        <v>1</v>
      </c>
      <c r="L24" s="97">
        <f>Details!Q24</f>
        <v>0</v>
      </c>
      <c r="M24" s="13">
        <f>Details!V24</f>
        <v>1819973.4500000002</v>
      </c>
      <c r="N24" s="335"/>
      <c r="O24" s="336">
        <f>Details!W24</f>
        <v>1819973.4500000002</v>
      </c>
      <c r="P24" s="13">
        <f>Details!Y24</f>
        <v>0</v>
      </c>
      <c r="Q24" s="335">
        <f t="shared" si="3"/>
        <v>0</v>
      </c>
      <c r="R24" s="336">
        <f>Details!Z24</f>
        <v>731870.76</v>
      </c>
    </row>
    <row r="25" spans="1:18">
      <c r="A25" s="66">
        <v>25</v>
      </c>
      <c r="B25" s="69" t="str">
        <f>Details!B25</f>
        <v>Total Income/Available cash</v>
      </c>
      <c r="C25" s="14">
        <f>Details!F25</f>
        <v>4799570.6100000003</v>
      </c>
      <c r="D25" s="716">
        <f>Details!S25</f>
        <v>4799570.6100000003</v>
      </c>
      <c r="E25" s="337">
        <f>D25/$O25</f>
        <v>0.38425542503815147</v>
      </c>
      <c r="F25" s="114">
        <f>Details!J25</f>
        <v>3711316.29</v>
      </c>
      <c r="G25" s="186">
        <f>Details!T25</f>
        <v>8160163.1500000004</v>
      </c>
      <c r="H25" s="337">
        <f t="shared" si="4"/>
        <v>0.65330572552695731</v>
      </c>
      <c r="I25" s="114">
        <f>Details!M25</f>
        <v>0</v>
      </c>
      <c r="J25" s="14">
        <f>Details!W25</f>
        <v>12490573.450000001</v>
      </c>
      <c r="K25" s="337">
        <f t="shared" si="1"/>
        <v>1</v>
      </c>
      <c r="L25" s="98">
        <f>Details!Q25</f>
        <v>0</v>
      </c>
      <c r="M25" s="13">
        <f>Details!V25</f>
        <v>8160163.1500000004</v>
      </c>
      <c r="N25" s="337">
        <f t="shared" si="2"/>
        <v>0.65330572552695731</v>
      </c>
      <c r="O25" s="336">
        <f>Details!W25</f>
        <v>12490573.450000001</v>
      </c>
      <c r="P25" s="13">
        <f>Details!Y25</f>
        <v>0</v>
      </c>
      <c r="Q25" s="335">
        <f t="shared" si="3"/>
        <v>0</v>
      </c>
      <c r="R25" s="336">
        <f>Details!Z25</f>
        <v>9570973.5199999996</v>
      </c>
    </row>
    <row r="26" spans="1:18" s="40" customFormat="1">
      <c r="A26" s="66">
        <v>26</v>
      </c>
      <c r="B26" s="69" t="str">
        <f>Details!B26</f>
        <v>EXPENDITURE</v>
      </c>
      <c r="C26" s="13"/>
      <c r="D26" s="14"/>
      <c r="E26" s="337"/>
      <c r="F26" s="114"/>
      <c r="G26" s="186"/>
      <c r="H26" s="337"/>
      <c r="I26" s="114"/>
      <c r="J26" s="14"/>
      <c r="K26" s="337"/>
      <c r="L26" s="98"/>
      <c r="M26" s="13">
        <f>Details!V26</f>
        <v>0</v>
      </c>
      <c r="N26" s="337"/>
      <c r="O26" s="336">
        <f>Details!W26</f>
        <v>0</v>
      </c>
      <c r="P26" s="13">
        <f>Details!Y26</f>
        <v>0</v>
      </c>
      <c r="Q26" s="335" t="e">
        <f t="shared" si="3"/>
        <v>#DIV/0!</v>
      </c>
      <c r="R26" s="336">
        <f>Details!Z26</f>
        <v>0</v>
      </c>
    </row>
    <row r="27" spans="1:18">
      <c r="A27" s="66">
        <v>27</v>
      </c>
      <c r="B27" s="69" t="str">
        <f>Details!B27</f>
        <v>A. CHURCH MINISTRIES</v>
      </c>
      <c r="C27" s="14">
        <f>Details!F27</f>
        <v>612630</v>
      </c>
      <c r="D27" s="13">
        <f>Details!S27</f>
        <v>612630</v>
      </c>
      <c r="E27" s="337">
        <f t="shared" si="0"/>
        <v>0.20335590519816771</v>
      </c>
      <c r="F27" s="114">
        <f>Details!J27</f>
        <v>403520</v>
      </c>
      <c r="G27" s="186">
        <f>Details!T27</f>
        <v>1016150</v>
      </c>
      <c r="H27" s="337">
        <f t="shared" si="4"/>
        <v>0.33730000663878379</v>
      </c>
      <c r="I27" s="114">
        <f>Details!M27</f>
        <v>0</v>
      </c>
      <c r="J27" s="14">
        <f>Details!W27</f>
        <v>3012600</v>
      </c>
      <c r="K27" s="337">
        <f t="shared" si="1"/>
        <v>1</v>
      </c>
      <c r="L27" s="98">
        <f>Details!Q27</f>
        <v>0</v>
      </c>
      <c r="M27" s="13">
        <f>Details!V27</f>
        <v>1016150</v>
      </c>
      <c r="N27" s="337">
        <f t="shared" si="2"/>
        <v>0.33730000663878379</v>
      </c>
      <c r="O27" s="336">
        <f>Details!W27</f>
        <v>3012600</v>
      </c>
      <c r="P27" s="13">
        <f>Details!Y27</f>
        <v>0</v>
      </c>
      <c r="Q27" s="335">
        <f t="shared" si="3"/>
        <v>0</v>
      </c>
      <c r="R27" s="336">
        <f>Details!Z27</f>
        <v>1610500</v>
      </c>
    </row>
    <row r="28" spans="1:18">
      <c r="A28" s="66">
        <v>28</v>
      </c>
      <c r="B28" s="67" t="str">
        <f>Details!B28</f>
        <v>Benevolence</v>
      </c>
      <c r="C28" s="13">
        <f>Details!F28</f>
        <v>104940</v>
      </c>
      <c r="D28" s="13">
        <f>Details!S28</f>
        <v>104940</v>
      </c>
      <c r="E28" s="335">
        <f t="shared" si="0"/>
        <v>0.29394957983193276</v>
      </c>
      <c r="F28" s="112">
        <f>Details!J28</f>
        <v>89000</v>
      </c>
      <c r="G28" s="185">
        <f>Details!T28</f>
        <v>193940</v>
      </c>
      <c r="H28" s="335">
        <f t="shared" si="4"/>
        <v>0.543249299719888</v>
      </c>
      <c r="I28" s="112">
        <f>Details!M28</f>
        <v>0</v>
      </c>
      <c r="J28" s="13">
        <f>Details!W28</f>
        <v>357000</v>
      </c>
      <c r="K28" s="335">
        <f t="shared" si="1"/>
        <v>1</v>
      </c>
      <c r="L28" s="97">
        <f>Details!Q28</f>
        <v>0</v>
      </c>
      <c r="M28" s="13">
        <f>Details!V28</f>
        <v>193940</v>
      </c>
      <c r="N28" s="335">
        <f t="shared" si="2"/>
        <v>0.543249299719888</v>
      </c>
      <c r="O28" s="336">
        <f>Details!W28</f>
        <v>357000</v>
      </c>
      <c r="P28" s="13">
        <f>Details!Y28</f>
        <v>0</v>
      </c>
      <c r="Q28" s="335">
        <f t="shared" si="3"/>
        <v>0</v>
      </c>
      <c r="R28" s="336">
        <f>Details!Z28</f>
        <v>442500</v>
      </c>
    </row>
    <row r="29" spans="1:18">
      <c r="A29" s="66">
        <v>29</v>
      </c>
      <c r="B29" s="67" t="str">
        <f>Details!B29</f>
        <v>Childrens' Department</v>
      </c>
      <c r="C29" s="13">
        <f>Details!F29</f>
        <v>64440</v>
      </c>
      <c r="D29" s="13">
        <f>Details!S29</f>
        <v>64440</v>
      </c>
      <c r="E29" s="335">
        <f t="shared" si="0"/>
        <v>0.24409090909090908</v>
      </c>
      <c r="F29" s="112">
        <f>Details!J29</f>
        <v>33940</v>
      </c>
      <c r="G29" s="185">
        <f>Details!T29</f>
        <v>98380</v>
      </c>
      <c r="H29" s="335">
        <f t="shared" si="4"/>
        <v>0.37265151515151518</v>
      </c>
      <c r="I29" s="112">
        <f>Details!M29</f>
        <v>0</v>
      </c>
      <c r="J29" s="13">
        <f>Details!W29</f>
        <v>264000</v>
      </c>
      <c r="K29" s="335">
        <f t="shared" si="1"/>
        <v>1</v>
      </c>
      <c r="L29" s="97">
        <f>Details!Q29</f>
        <v>0</v>
      </c>
      <c r="M29" s="13">
        <f>Details!V29</f>
        <v>98380</v>
      </c>
      <c r="N29" s="335">
        <f t="shared" si="2"/>
        <v>0.37265151515151518</v>
      </c>
      <c r="O29" s="336">
        <f>Details!W29</f>
        <v>264000</v>
      </c>
      <c r="P29" s="13">
        <f>Details!Y29</f>
        <v>0</v>
      </c>
      <c r="Q29" s="335">
        <f t="shared" si="3"/>
        <v>0</v>
      </c>
      <c r="R29" s="336">
        <f>Details!Z29</f>
        <v>49450</v>
      </c>
    </row>
    <row r="30" spans="1:18">
      <c r="A30" s="66">
        <v>30</v>
      </c>
      <c r="B30" s="67" t="str">
        <f>Details!B30</f>
        <v>Church decorations</v>
      </c>
      <c r="C30" s="13">
        <f>Details!F30</f>
        <v>0</v>
      </c>
      <c r="D30" s="13">
        <f>Details!S30</f>
        <v>0</v>
      </c>
      <c r="E30" s="335">
        <f t="shared" si="0"/>
        <v>0</v>
      </c>
      <c r="F30" s="112">
        <f>Details!J30</f>
        <v>0</v>
      </c>
      <c r="G30" s="185">
        <f>Details!T30</f>
        <v>0</v>
      </c>
      <c r="H30" s="335">
        <f t="shared" si="4"/>
        <v>0</v>
      </c>
      <c r="I30" s="112">
        <f>Details!M30</f>
        <v>0</v>
      </c>
      <c r="J30" s="13">
        <f>Details!W30</f>
        <v>25000</v>
      </c>
      <c r="K30" s="335">
        <f t="shared" si="1"/>
        <v>1</v>
      </c>
      <c r="L30" s="97">
        <f>Details!Q30</f>
        <v>0</v>
      </c>
      <c r="M30" s="13">
        <f>Details!V30</f>
        <v>0</v>
      </c>
      <c r="N30" s="335">
        <f t="shared" si="2"/>
        <v>0</v>
      </c>
      <c r="O30" s="336">
        <f>Details!W30</f>
        <v>25000</v>
      </c>
      <c r="P30" s="13">
        <f>Details!Y30</f>
        <v>0</v>
      </c>
      <c r="Q30" s="335">
        <f t="shared" si="3"/>
        <v>0</v>
      </c>
      <c r="R30" s="336">
        <f>Details!Z30</f>
        <v>6620</v>
      </c>
    </row>
    <row r="31" spans="1:18">
      <c r="A31" s="66">
        <v>31</v>
      </c>
      <c r="B31" s="67" t="str">
        <f>Details!B31</f>
        <v>Church Maintenance</v>
      </c>
      <c r="C31" s="13">
        <f>Details!F31</f>
        <v>0</v>
      </c>
      <c r="D31" s="13">
        <f>Details!S31</f>
        <v>0</v>
      </c>
      <c r="E31" s="335">
        <f t="shared" si="0"/>
        <v>0</v>
      </c>
      <c r="F31" s="112">
        <f>Details!J31</f>
        <v>0</v>
      </c>
      <c r="G31" s="185">
        <f>Details!T31</f>
        <v>0</v>
      </c>
      <c r="H31" s="335">
        <f t="shared" si="4"/>
        <v>0</v>
      </c>
      <c r="I31" s="112">
        <f>Details!M31</f>
        <v>0</v>
      </c>
      <c r="J31" s="13">
        <f>Details!W31</f>
        <v>20000</v>
      </c>
      <c r="K31" s="335">
        <f t="shared" si="1"/>
        <v>1</v>
      </c>
      <c r="L31" s="97">
        <f>Details!Q31</f>
        <v>0</v>
      </c>
      <c r="M31" s="13">
        <f>Details!V31</f>
        <v>0</v>
      </c>
      <c r="N31" s="335">
        <f t="shared" si="2"/>
        <v>0</v>
      </c>
      <c r="O31" s="336">
        <f>Details!W31</f>
        <v>20000</v>
      </c>
      <c r="P31" s="13">
        <f>Details!Y31</f>
        <v>0</v>
      </c>
      <c r="Q31" s="335">
        <f t="shared" si="3"/>
        <v>0</v>
      </c>
      <c r="R31" s="336">
        <f>Details!Z31</f>
        <v>0</v>
      </c>
    </row>
    <row r="32" spans="1:18">
      <c r="A32" s="66">
        <v>32</v>
      </c>
      <c r="B32" s="67" t="str">
        <f>Details!B32</f>
        <v>Diaconate</v>
      </c>
      <c r="C32" s="13">
        <f>Details!F32</f>
        <v>0</v>
      </c>
      <c r="D32" s="13">
        <f>Details!S32</f>
        <v>0</v>
      </c>
      <c r="E32" s="335">
        <f t="shared" si="0"/>
        <v>0</v>
      </c>
      <c r="F32" s="112">
        <f>Details!J32</f>
        <v>0</v>
      </c>
      <c r="G32" s="185">
        <f>Details!T32</f>
        <v>0</v>
      </c>
      <c r="H32" s="335">
        <f t="shared" si="4"/>
        <v>0</v>
      </c>
      <c r="I32" s="112">
        <f>Details!M33</f>
        <v>0</v>
      </c>
      <c r="J32" s="13">
        <f>Details!W33</f>
        <v>15000</v>
      </c>
      <c r="K32" s="335">
        <f t="shared" si="1"/>
        <v>0.75</v>
      </c>
      <c r="L32" s="97">
        <f>Details!Q33</f>
        <v>0</v>
      </c>
      <c r="M32" s="13">
        <f>Details!V32</f>
        <v>0</v>
      </c>
      <c r="N32" s="335">
        <f t="shared" si="2"/>
        <v>0</v>
      </c>
      <c r="O32" s="336">
        <f>Details!W32</f>
        <v>20000</v>
      </c>
      <c r="P32" s="13">
        <f>Details!Y33</f>
        <v>0</v>
      </c>
      <c r="Q32" s="335">
        <f t="shared" si="3"/>
        <v>0</v>
      </c>
      <c r="R32" s="336">
        <f>Details!Z33</f>
        <v>5900</v>
      </c>
    </row>
    <row r="33" spans="1:18" s="407" customFormat="1">
      <c r="A33" s="66">
        <v>33</v>
      </c>
      <c r="B33" s="67" t="str">
        <f>Details!B33</f>
        <v>Discipleship Department</v>
      </c>
      <c r="C33" s="13">
        <f>Details!F33</f>
        <v>0</v>
      </c>
      <c r="D33" s="13">
        <f>Details!S33</f>
        <v>0</v>
      </c>
      <c r="E33" s="338">
        <f t="shared" si="0"/>
        <v>0</v>
      </c>
      <c r="F33" s="112">
        <f>Details!J33</f>
        <v>0</v>
      </c>
      <c r="G33" s="185">
        <f>Details!T33</f>
        <v>0</v>
      </c>
      <c r="H33" s="335">
        <f t="shared" si="4"/>
        <v>0</v>
      </c>
      <c r="I33" s="112">
        <f>Details!M34</f>
        <v>0</v>
      </c>
      <c r="J33" s="13">
        <f>Details!W34</f>
        <v>35000</v>
      </c>
      <c r="K33" s="335">
        <f t="shared" si="1"/>
        <v>2.3333333333333335</v>
      </c>
      <c r="L33" s="97">
        <f>Details!Q34</f>
        <v>0</v>
      </c>
      <c r="M33" s="13">
        <f>Details!V33</f>
        <v>0</v>
      </c>
      <c r="N33" s="335">
        <f t="shared" si="2"/>
        <v>0</v>
      </c>
      <c r="O33" s="336">
        <f>Details!W33</f>
        <v>15000</v>
      </c>
      <c r="P33" s="13">
        <f>Details!Y34</f>
        <v>0</v>
      </c>
      <c r="Q33" s="335">
        <f t="shared" si="3"/>
        <v>0</v>
      </c>
      <c r="R33" s="336">
        <f>Details!Z34</f>
        <v>0</v>
      </c>
    </row>
    <row r="34" spans="1:18">
      <c r="A34" s="66">
        <v>34</v>
      </c>
      <c r="B34" s="67" t="str">
        <f>Details!B34</f>
        <v>Drama Committee</v>
      </c>
      <c r="C34" s="13">
        <f>Details!F34</f>
        <v>0</v>
      </c>
      <c r="D34" s="13">
        <f>Details!S34</f>
        <v>0</v>
      </c>
      <c r="E34" s="335">
        <f t="shared" si="0"/>
        <v>0</v>
      </c>
      <c r="F34" s="112">
        <f>Details!J34</f>
        <v>10000</v>
      </c>
      <c r="G34" s="185">
        <f>Details!T34</f>
        <v>10000</v>
      </c>
      <c r="H34" s="335">
        <f t="shared" si="4"/>
        <v>0.2857142857142857</v>
      </c>
      <c r="I34" s="112">
        <f>Details!M35</f>
        <v>0</v>
      </c>
      <c r="J34" s="13">
        <f>Details!W35</f>
        <v>130000</v>
      </c>
      <c r="K34" s="335">
        <f t="shared" si="1"/>
        <v>3.7142857142857144</v>
      </c>
      <c r="L34" s="97">
        <f>Details!Q35</f>
        <v>0</v>
      </c>
      <c r="M34" s="13">
        <f>Details!V34</f>
        <v>10000</v>
      </c>
      <c r="N34" s="335">
        <f t="shared" si="2"/>
        <v>0.2857142857142857</v>
      </c>
      <c r="O34" s="336">
        <f>Details!W34</f>
        <v>35000</v>
      </c>
      <c r="P34" s="13">
        <f>Details!Y35</f>
        <v>0</v>
      </c>
      <c r="Q34" s="335">
        <f t="shared" si="3"/>
        <v>0</v>
      </c>
      <c r="R34" s="336">
        <f>Details!Z35</f>
        <v>0</v>
      </c>
    </row>
    <row r="35" spans="1:18" hidden="1">
      <c r="A35" s="66">
        <v>35</v>
      </c>
      <c r="B35" s="67" t="str">
        <f>Details!B35</f>
        <v>End of year outreach - Heaven's Link Praise Festival</v>
      </c>
      <c r="C35" s="13">
        <f>Details!F35</f>
        <v>0</v>
      </c>
      <c r="D35" s="13">
        <f>Details!S35</f>
        <v>0</v>
      </c>
      <c r="E35" s="335">
        <f t="shared" si="0"/>
        <v>0</v>
      </c>
      <c r="F35" s="112">
        <f>Details!J35</f>
        <v>0</v>
      </c>
      <c r="G35" s="185">
        <f>Details!T35</f>
        <v>0</v>
      </c>
      <c r="H35" s="335">
        <f t="shared" si="4"/>
        <v>0</v>
      </c>
      <c r="I35" s="112">
        <f>Details!M36</f>
        <v>0</v>
      </c>
      <c r="J35" s="13">
        <f>Details!W36</f>
        <v>500000</v>
      </c>
      <c r="K35" s="335">
        <f t="shared" si="1"/>
        <v>3.8461538461538463</v>
      </c>
      <c r="L35" s="97">
        <f>Details!Q36</f>
        <v>0</v>
      </c>
      <c r="M35" s="13">
        <f>Details!V35</f>
        <v>0</v>
      </c>
      <c r="N35" s="335">
        <f t="shared" si="2"/>
        <v>0</v>
      </c>
      <c r="O35" s="336">
        <f>Details!W35</f>
        <v>130000</v>
      </c>
      <c r="P35" s="13">
        <f>Details!Y36</f>
        <v>0</v>
      </c>
      <c r="Q35" s="335">
        <f t="shared" si="3"/>
        <v>0</v>
      </c>
      <c r="R35" s="336">
        <f>Details!Z36</f>
        <v>0</v>
      </c>
    </row>
    <row r="36" spans="1:18">
      <c r="A36" s="66">
        <v>36</v>
      </c>
      <c r="B36" s="67" t="str">
        <f>Details!B36</f>
        <v>Evangelism Committee</v>
      </c>
      <c r="C36" s="13">
        <f>Details!F36</f>
        <v>106400</v>
      </c>
      <c r="D36" s="13">
        <f>Details!S36</f>
        <v>106400</v>
      </c>
      <c r="E36" s="335">
        <f t="shared" si="0"/>
        <v>0.21279999999999999</v>
      </c>
      <c r="F36" s="112">
        <f>Details!J36</f>
        <v>150000</v>
      </c>
      <c r="G36" s="185">
        <f>Details!T36</f>
        <v>256400</v>
      </c>
      <c r="H36" s="335">
        <f t="shared" si="4"/>
        <v>0.51280000000000003</v>
      </c>
      <c r="I36" s="112">
        <f>Details!M37</f>
        <v>0</v>
      </c>
      <c r="J36" s="13">
        <f>Details!W37</f>
        <v>75000</v>
      </c>
      <c r="K36" s="335">
        <f t="shared" si="1"/>
        <v>0.15</v>
      </c>
      <c r="L36" s="97">
        <f>Details!Q37</f>
        <v>0</v>
      </c>
      <c r="M36" s="13">
        <f>Details!V36</f>
        <v>256400</v>
      </c>
      <c r="N36" s="335">
        <f t="shared" si="2"/>
        <v>0.51280000000000003</v>
      </c>
      <c r="O36" s="336">
        <f>Details!W36</f>
        <v>500000</v>
      </c>
      <c r="P36" s="13">
        <f>Details!Y37</f>
        <v>0</v>
      </c>
      <c r="Q36" s="335">
        <f t="shared" si="3"/>
        <v>0</v>
      </c>
      <c r="R36" s="336">
        <f>Details!Z37</f>
        <v>0</v>
      </c>
    </row>
    <row r="37" spans="1:18" hidden="1">
      <c r="A37" s="66">
        <v>37</v>
      </c>
      <c r="B37" s="67" t="str">
        <f>Details!B37</f>
        <v>Exemplary Youth Award</v>
      </c>
      <c r="C37" s="13">
        <f>Details!F37</f>
        <v>0</v>
      </c>
      <c r="D37" s="13">
        <f>Details!S37</f>
        <v>0</v>
      </c>
      <c r="E37" s="335">
        <f t="shared" si="0"/>
        <v>0</v>
      </c>
      <c r="F37" s="112">
        <f>Details!J37</f>
        <v>0</v>
      </c>
      <c r="G37" s="185">
        <f>Details!T37</f>
        <v>0</v>
      </c>
      <c r="H37" s="335">
        <f t="shared" si="4"/>
        <v>0</v>
      </c>
      <c r="I37" s="112">
        <f>Details!M38</f>
        <v>0</v>
      </c>
      <c r="J37" s="13">
        <f>Details!W38</f>
        <v>38000</v>
      </c>
      <c r="K37" s="335">
        <f t="shared" si="1"/>
        <v>0.50666666666666671</v>
      </c>
      <c r="L37" s="97">
        <f>Details!Q38</f>
        <v>0</v>
      </c>
      <c r="M37" s="13">
        <f>Details!V37</f>
        <v>0</v>
      </c>
      <c r="N37" s="335">
        <f t="shared" si="2"/>
        <v>0</v>
      </c>
      <c r="O37" s="336">
        <f>Details!W37</f>
        <v>75000</v>
      </c>
      <c r="P37" s="13">
        <f>Details!Y38</f>
        <v>0</v>
      </c>
      <c r="Q37" s="335">
        <f t="shared" si="3"/>
        <v>0</v>
      </c>
      <c r="R37" s="336">
        <f>Details!Z38</f>
        <v>42500</v>
      </c>
    </row>
    <row r="38" spans="1:18">
      <c r="A38" s="66">
        <v>38</v>
      </c>
      <c r="B38" s="67" t="str">
        <f>Details!B38</f>
        <v>External Affairs</v>
      </c>
      <c r="C38" s="13">
        <f>Details!F38</f>
        <v>24000</v>
      </c>
      <c r="D38" s="13">
        <f>Details!S38</f>
        <v>24000</v>
      </c>
      <c r="E38" s="335">
        <f t="shared" si="0"/>
        <v>0.63157894736842102</v>
      </c>
      <c r="F38" s="112">
        <f>Details!J38</f>
        <v>12940</v>
      </c>
      <c r="G38" s="185">
        <f>Details!T38</f>
        <v>36940</v>
      </c>
      <c r="H38" s="335">
        <f t="shared" si="4"/>
        <v>0.97210526315789469</v>
      </c>
      <c r="I38" s="112">
        <f>Details!M39</f>
        <v>0</v>
      </c>
      <c r="J38" s="13">
        <f>Details!W39</f>
        <v>34500</v>
      </c>
      <c r="K38" s="335">
        <f t="shared" si="1"/>
        <v>0.90789473684210531</v>
      </c>
      <c r="L38" s="97">
        <f>Details!Q39</f>
        <v>0</v>
      </c>
      <c r="M38" s="13">
        <f>Details!V38</f>
        <v>36940</v>
      </c>
      <c r="N38" s="335">
        <f t="shared" si="2"/>
        <v>0.97210526315789469</v>
      </c>
      <c r="O38" s="336">
        <f>Details!W38</f>
        <v>38000</v>
      </c>
      <c r="P38" s="13">
        <f>Details!Y39</f>
        <v>0</v>
      </c>
      <c r="Q38" s="335">
        <f t="shared" si="3"/>
        <v>0</v>
      </c>
      <c r="R38" s="336">
        <f>Details!Z39</f>
        <v>20000</v>
      </c>
    </row>
    <row r="39" spans="1:18">
      <c r="A39" s="66">
        <v>39</v>
      </c>
      <c r="B39" s="67" t="str">
        <f>Details!B39</f>
        <v>Health Committee</v>
      </c>
      <c r="C39" s="13">
        <f>Details!F39</f>
        <v>3200</v>
      </c>
      <c r="D39" s="13">
        <f>Details!S39</f>
        <v>3200</v>
      </c>
      <c r="E39" s="335">
        <f t="shared" si="0"/>
        <v>9.2753623188405798E-2</v>
      </c>
      <c r="F39" s="112">
        <f>Details!J39</f>
        <v>0</v>
      </c>
      <c r="G39" s="185">
        <f>Details!T39</f>
        <v>3200</v>
      </c>
      <c r="H39" s="335">
        <f t="shared" si="4"/>
        <v>9.2753623188405798E-2</v>
      </c>
      <c r="I39" s="112">
        <f>Details!M40</f>
        <v>0</v>
      </c>
      <c r="J39" s="13">
        <f>Details!W40</f>
        <v>262800</v>
      </c>
      <c r="K39" s="335">
        <f t="shared" si="1"/>
        <v>7.6173913043478265</v>
      </c>
      <c r="L39" s="97">
        <f>Details!Q40</f>
        <v>0</v>
      </c>
      <c r="M39" s="13">
        <f>Details!V39</f>
        <v>3200</v>
      </c>
      <c r="N39" s="335">
        <f t="shared" si="2"/>
        <v>9.2753623188405798E-2</v>
      </c>
      <c r="O39" s="336">
        <f>Details!W39</f>
        <v>34500</v>
      </c>
      <c r="P39" s="13">
        <f>Details!Y40</f>
        <v>0</v>
      </c>
      <c r="Q39" s="335">
        <f t="shared" si="3"/>
        <v>0</v>
      </c>
      <c r="R39" s="336">
        <f>Details!Z40</f>
        <v>157110</v>
      </c>
    </row>
    <row r="40" spans="1:18">
      <c r="A40" s="66">
        <v>40</v>
      </c>
      <c r="B40" s="67" t="str">
        <f>Details!B40</f>
        <v>Hospitality Committee</v>
      </c>
      <c r="C40" s="13">
        <f>Details!F40</f>
        <v>5950</v>
      </c>
      <c r="D40" s="13">
        <f>Details!S40</f>
        <v>5950</v>
      </c>
      <c r="E40" s="335">
        <f t="shared" si="0"/>
        <v>2.2640791476407914E-2</v>
      </c>
      <c r="F40" s="112">
        <f>Details!J40</f>
        <v>16040</v>
      </c>
      <c r="G40" s="185">
        <f>Details!T40</f>
        <v>21990</v>
      </c>
      <c r="H40" s="335">
        <f t="shared" si="4"/>
        <v>8.3675799086757985E-2</v>
      </c>
      <c r="I40" s="112">
        <f>Details!M41</f>
        <v>0</v>
      </c>
      <c r="J40" s="13">
        <f>Details!W41</f>
        <v>150000</v>
      </c>
      <c r="K40" s="335">
        <f t="shared" si="1"/>
        <v>0.57077625570776258</v>
      </c>
      <c r="L40" s="97">
        <f>Details!Q41</f>
        <v>0</v>
      </c>
      <c r="M40" s="13">
        <f>Details!V40</f>
        <v>21990</v>
      </c>
      <c r="N40" s="335">
        <f t="shared" si="2"/>
        <v>8.3675799086757985E-2</v>
      </c>
      <c r="O40" s="336">
        <f>Details!W40</f>
        <v>262800</v>
      </c>
      <c r="P40" s="13">
        <f>Details!Y41</f>
        <v>0</v>
      </c>
      <c r="Q40" s="335">
        <f t="shared" si="3"/>
        <v>0</v>
      </c>
      <c r="R40" s="336">
        <f>Details!Z41</f>
        <v>262600</v>
      </c>
    </row>
    <row r="41" spans="1:18">
      <c r="A41" s="66">
        <v>41</v>
      </c>
      <c r="B41" s="67" t="str">
        <f>Details!B41</f>
        <v>Media/Sound Unit</v>
      </c>
      <c r="C41" s="13">
        <f>Details!F41</f>
        <v>27400</v>
      </c>
      <c r="D41" s="13">
        <f>Details!S41</f>
        <v>27400</v>
      </c>
      <c r="E41" s="335">
        <f t="shared" si="0"/>
        <v>0.18266666666666667</v>
      </c>
      <c r="F41" s="112">
        <f>Details!J41</f>
        <v>19000</v>
      </c>
      <c r="G41" s="185">
        <f>Details!T41</f>
        <v>46400</v>
      </c>
      <c r="H41" s="335">
        <f t="shared" si="4"/>
        <v>0.30933333333333335</v>
      </c>
      <c r="I41" s="112">
        <f>Details!M42</f>
        <v>0</v>
      </c>
      <c r="J41" s="13">
        <f>Details!W42</f>
        <v>50000</v>
      </c>
      <c r="K41" s="335">
        <f t="shared" si="1"/>
        <v>0.33333333333333331</v>
      </c>
      <c r="L41" s="97">
        <f>Details!Q42</f>
        <v>0</v>
      </c>
      <c r="M41" s="13">
        <f>Details!V41</f>
        <v>46400</v>
      </c>
      <c r="N41" s="335">
        <f t="shared" si="2"/>
        <v>0.30933333333333335</v>
      </c>
      <c r="O41" s="336">
        <f>Details!W41</f>
        <v>150000</v>
      </c>
      <c r="P41" s="13">
        <f>Details!Y42</f>
        <v>0</v>
      </c>
      <c r="Q41" s="335">
        <f t="shared" si="3"/>
        <v>0</v>
      </c>
      <c r="R41" s="336">
        <f>Details!Z42</f>
        <v>4500</v>
      </c>
    </row>
    <row r="42" spans="1:18">
      <c r="A42" s="66">
        <v>42</v>
      </c>
      <c r="B42" s="67" t="str">
        <f>Details!B42</f>
        <v>MMU</v>
      </c>
      <c r="C42" s="13">
        <f>Details!F42</f>
        <v>0</v>
      </c>
      <c r="D42" s="13">
        <f>Details!S42</f>
        <v>0</v>
      </c>
      <c r="E42" s="335">
        <f t="shared" si="0"/>
        <v>0</v>
      </c>
      <c r="F42" s="112">
        <f>Details!J42</f>
        <v>600</v>
      </c>
      <c r="G42" s="185">
        <f>Details!T42</f>
        <v>600</v>
      </c>
      <c r="H42" s="335">
        <f t="shared" si="4"/>
        <v>1.2E-2</v>
      </c>
      <c r="I42" s="112">
        <f>Details!M43</f>
        <v>0</v>
      </c>
      <c r="J42" s="13">
        <f>Details!W43</f>
        <v>281000</v>
      </c>
      <c r="K42" s="335">
        <f t="shared" si="1"/>
        <v>5.62</v>
      </c>
      <c r="L42" s="97">
        <f>Details!Q43</f>
        <v>0</v>
      </c>
      <c r="M42" s="13">
        <f>Details!V42</f>
        <v>600</v>
      </c>
      <c r="N42" s="335">
        <f t="shared" si="2"/>
        <v>1.2E-2</v>
      </c>
      <c r="O42" s="336">
        <f>Details!W42</f>
        <v>50000</v>
      </c>
      <c r="P42" s="13">
        <f>Details!Y43</f>
        <v>0</v>
      </c>
      <c r="Q42" s="335">
        <f t="shared" si="3"/>
        <v>0</v>
      </c>
      <c r="R42" s="336">
        <f>Details!Z43</f>
        <v>20900</v>
      </c>
    </row>
    <row r="43" spans="1:18">
      <c r="A43" s="66">
        <v>43</v>
      </c>
      <c r="B43" s="67" t="str">
        <f>Details!B43</f>
        <v>Music Department</v>
      </c>
      <c r="C43" s="13">
        <f>Details!F43</f>
        <v>21000</v>
      </c>
      <c r="D43" s="13">
        <f>Details!S43</f>
        <v>21000</v>
      </c>
      <c r="E43" s="335">
        <f t="shared" si="0"/>
        <v>7.4733096085409248E-2</v>
      </c>
      <c r="F43" s="112">
        <f>Details!J43</f>
        <v>28000</v>
      </c>
      <c r="G43" s="185">
        <f>Details!T43</f>
        <v>49000</v>
      </c>
      <c r="H43" s="335">
        <f t="shared" si="4"/>
        <v>0.17437722419928825</v>
      </c>
      <c r="I43" s="112">
        <f>Details!M44</f>
        <v>0</v>
      </c>
      <c r="J43" s="13">
        <f>Details!W44</f>
        <v>0</v>
      </c>
      <c r="K43" s="335">
        <f t="shared" si="1"/>
        <v>0</v>
      </c>
      <c r="L43" s="97">
        <f>Details!Q44</f>
        <v>0</v>
      </c>
      <c r="M43" s="13">
        <f>Details!V43</f>
        <v>49000</v>
      </c>
      <c r="N43" s="335"/>
      <c r="O43" s="336">
        <f>Details!W43</f>
        <v>281000</v>
      </c>
      <c r="P43" s="13">
        <f>Details!Y44</f>
        <v>0</v>
      </c>
      <c r="Q43" s="335">
        <f t="shared" si="3"/>
        <v>0</v>
      </c>
      <c r="R43" s="336">
        <f>Details!Z44</f>
        <v>0</v>
      </c>
    </row>
    <row r="44" spans="1:18">
      <c r="A44" s="66">
        <v>44</v>
      </c>
      <c r="B44" s="67" t="str">
        <f>Details!B44</f>
        <v>Nominating</v>
      </c>
      <c r="C44" s="13"/>
      <c r="D44" s="13"/>
      <c r="E44" s="335"/>
      <c r="F44" s="112"/>
      <c r="G44" s="185"/>
      <c r="H44" s="335"/>
      <c r="I44" s="112">
        <f>Details!M45</f>
        <v>0</v>
      </c>
      <c r="J44" s="13">
        <f>Details!W45</f>
        <v>200000</v>
      </c>
      <c r="K44" s="335" t="e">
        <f t="shared" si="1"/>
        <v>#DIV/0!</v>
      </c>
      <c r="L44" s="97">
        <f>Details!Q45</f>
        <v>0</v>
      </c>
      <c r="M44" s="13">
        <f>Details!V44</f>
        <v>0</v>
      </c>
      <c r="N44" s="335" t="e">
        <f t="shared" si="2"/>
        <v>#DIV/0!</v>
      </c>
      <c r="O44" s="336">
        <f>Details!W44</f>
        <v>0</v>
      </c>
      <c r="P44" s="13">
        <f>Details!Y45</f>
        <v>0</v>
      </c>
      <c r="Q44" s="335" t="e">
        <f t="shared" si="3"/>
        <v>#DIV/0!</v>
      </c>
      <c r="R44" s="336">
        <f>Details!Z45</f>
        <v>193220</v>
      </c>
    </row>
    <row r="45" spans="1:18">
      <c r="A45" s="66">
        <v>45</v>
      </c>
      <c r="B45" s="67" t="str">
        <f>Details!B45</f>
        <v>Property Committee</v>
      </c>
      <c r="C45" s="13">
        <f>Details!F45</f>
        <v>0</v>
      </c>
      <c r="D45" s="13">
        <f>Details!S45</f>
        <v>0</v>
      </c>
      <c r="E45" s="335">
        <f t="shared" si="0"/>
        <v>0</v>
      </c>
      <c r="F45" s="112">
        <f>Details!J45</f>
        <v>6000</v>
      </c>
      <c r="G45" s="185">
        <f>Details!T45</f>
        <v>6000</v>
      </c>
      <c r="H45" s="335">
        <f t="shared" si="4"/>
        <v>0.03</v>
      </c>
      <c r="I45" s="112">
        <f>Details!M46</f>
        <v>0</v>
      </c>
      <c r="J45" s="13">
        <f>Details!W46</f>
        <v>0</v>
      </c>
      <c r="K45" s="335">
        <f t="shared" si="1"/>
        <v>0</v>
      </c>
      <c r="L45" s="97">
        <f>Details!Q46</f>
        <v>0</v>
      </c>
      <c r="M45" s="13">
        <f>Details!V45</f>
        <v>6000</v>
      </c>
      <c r="N45" s="335"/>
      <c r="O45" s="336">
        <f>Details!W45</f>
        <v>200000</v>
      </c>
      <c r="P45" s="13">
        <f>Details!Y46</f>
        <v>0</v>
      </c>
      <c r="Q45" s="335">
        <f t="shared" si="3"/>
        <v>0</v>
      </c>
      <c r="R45" s="336">
        <f>Details!Z46</f>
        <v>0</v>
      </c>
    </row>
    <row r="46" spans="1:18">
      <c r="A46" s="66">
        <v>46</v>
      </c>
      <c r="B46" s="67" t="str">
        <f>Details!B46</f>
        <v>Personnel</v>
      </c>
      <c r="C46" s="13"/>
      <c r="D46" s="13"/>
      <c r="E46" s="335"/>
      <c r="F46" s="112"/>
      <c r="G46" s="185"/>
      <c r="H46" s="335"/>
      <c r="I46" s="112">
        <f>Details!M47</f>
        <v>0</v>
      </c>
      <c r="J46" s="13">
        <f>Details!W47</f>
        <v>300000</v>
      </c>
      <c r="K46" s="335" t="e">
        <f t="shared" si="1"/>
        <v>#DIV/0!</v>
      </c>
      <c r="L46" s="97">
        <f>Details!Q47</f>
        <v>0</v>
      </c>
      <c r="M46" s="13">
        <f>Details!V46</f>
        <v>0</v>
      </c>
      <c r="N46" s="335" t="e">
        <f t="shared" si="2"/>
        <v>#DIV/0!</v>
      </c>
      <c r="O46" s="336">
        <f>Details!W46</f>
        <v>0</v>
      </c>
      <c r="P46" s="13">
        <f>Details!Y47</f>
        <v>0</v>
      </c>
      <c r="Q46" s="335" t="e">
        <f t="shared" si="3"/>
        <v>#DIV/0!</v>
      </c>
      <c r="R46" s="336">
        <f>Details!Z47</f>
        <v>242900</v>
      </c>
    </row>
    <row r="47" spans="1:18">
      <c r="A47" s="66">
        <v>47</v>
      </c>
      <c r="B47" s="67" t="str">
        <f>Details!B47</f>
        <v>Sanctuary supplies</v>
      </c>
      <c r="C47" s="13">
        <f>Details!F47</f>
        <v>71500</v>
      </c>
      <c r="D47" s="13">
        <f>Details!S47</f>
        <v>71500</v>
      </c>
      <c r="E47" s="335">
        <f t="shared" si="0"/>
        <v>0.23833333333333334</v>
      </c>
      <c r="F47" s="112">
        <f>Details!J47</f>
        <v>4000</v>
      </c>
      <c r="G47" s="185">
        <f>Details!T47</f>
        <v>75500</v>
      </c>
      <c r="H47" s="335">
        <f t="shared" si="4"/>
        <v>0.25166666666666665</v>
      </c>
      <c r="I47" s="112">
        <f>Details!M48</f>
        <v>0</v>
      </c>
      <c r="J47" s="13">
        <f>Details!W48</f>
        <v>10000</v>
      </c>
      <c r="K47" s="335">
        <f t="shared" si="1"/>
        <v>3.3333333333333333E-2</v>
      </c>
      <c r="L47" s="97">
        <f>Details!Q48</f>
        <v>0</v>
      </c>
      <c r="M47" s="13">
        <f>Details!V47</f>
        <v>75500</v>
      </c>
      <c r="N47" s="335">
        <f t="shared" si="2"/>
        <v>0.25166666666666665</v>
      </c>
      <c r="O47" s="336">
        <f>Details!W47</f>
        <v>300000</v>
      </c>
      <c r="P47" s="13">
        <f>Details!Y48</f>
        <v>0</v>
      </c>
      <c r="Q47" s="335">
        <f t="shared" si="3"/>
        <v>0</v>
      </c>
      <c r="R47" s="336">
        <f>Details!Z48</f>
        <v>0</v>
      </c>
    </row>
    <row r="48" spans="1:18">
      <c r="A48" s="66">
        <v>48</v>
      </c>
      <c r="B48" s="67" t="str">
        <f>Details!B48</f>
        <v>Stewardship</v>
      </c>
      <c r="C48" s="13">
        <f>Details!F48</f>
        <v>0</v>
      </c>
      <c r="D48" s="13">
        <f>Details!S48</f>
        <v>0</v>
      </c>
      <c r="E48" s="335">
        <f t="shared" si="0"/>
        <v>0</v>
      </c>
      <c r="F48" s="112">
        <f>Details!J48</f>
        <v>0</v>
      </c>
      <c r="G48" s="185">
        <f>Details!T48</f>
        <v>0</v>
      </c>
      <c r="H48" s="335">
        <f t="shared" si="4"/>
        <v>0</v>
      </c>
      <c r="I48" s="112">
        <f>Details!M49</f>
        <v>0</v>
      </c>
      <c r="J48" s="13">
        <f>Details!W49</f>
        <v>37800</v>
      </c>
      <c r="K48" s="335">
        <f t="shared" si="1"/>
        <v>3.78</v>
      </c>
      <c r="L48" s="97">
        <f>Details!Q49</f>
        <v>0</v>
      </c>
      <c r="M48" s="13">
        <f>Details!V48</f>
        <v>0</v>
      </c>
      <c r="N48" s="335">
        <f t="shared" si="2"/>
        <v>0</v>
      </c>
      <c r="O48" s="336">
        <f>Details!W48</f>
        <v>10000</v>
      </c>
      <c r="P48" s="13">
        <f>Details!Y49</f>
        <v>0</v>
      </c>
      <c r="Q48" s="335">
        <f t="shared" si="3"/>
        <v>0</v>
      </c>
      <c r="R48" s="336">
        <f>Details!Z49</f>
        <v>42100</v>
      </c>
    </row>
    <row r="49" spans="1:18">
      <c r="A49" s="66">
        <v>49</v>
      </c>
      <c r="B49" s="67" t="str">
        <f>Details!B49</f>
        <v xml:space="preserve">Sunday School </v>
      </c>
      <c r="C49" s="13">
        <f>Details!F49</f>
        <v>31400</v>
      </c>
      <c r="D49" s="13">
        <f>Details!S49</f>
        <v>31400</v>
      </c>
      <c r="E49" s="335">
        <f t="shared" si="0"/>
        <v>0.8306878306878307</v>
      </c>
      <c r="F49" s="112">
        <f>Details!J49</f>
        <v>0</v>
      </c>
      <c r="G49" s="185">
        <f>Details!T49</f>
        <v>31400</v>
      </c>
      <c r="H49" s="335">
        <f t="shared" si="4"/>
        <v>0.8306878306878307</v>
      </c>
      <c r="I49" s="112">
        <f>Details!M50</f>
        <v>0</v>
      </c>
      <c r="J49" s="13">
        <f>Details!W50</f>
        <v>8000</v>
      </c>
      <c r="K49" s="335">
        <f t="shared" si="1"/>
        <v>0.21164021164021163</v>
      </c>
      <c r="L49" s="97">
        <f>Details!Q50</f>
        <v>0</v>
      </c>
      <c r="M49" s="13">
        <f>Details!V49</f>
        <v>31400</v>
      </c>
      <c r="N49" s="335">
        <f t="shared" si="2"/>
        <v>0.8306878306878307</v>
      </c>
      <c r="O49" s="336">
        <f>Details!W49</f>
        <v>37800</v>
      </c>
      <c r="P49" s="13">
        <f>Details!Y50</f>
        <v>0</v>
      </c>
      <c r="Q49" s="335">
        <f t="shared" si="3"/>
        <v>0</v>
      </c>
      <c r="R49" s="336">
        <f>Details!Z50</f>
        <v>0</v>
      </c>
    </row>
    <row r="50" spans="1:18">
      <c r="A50" s="66">
        <v>50</v>
      </c>
      <c r="B50" s="67" t="str">
        <f>Details!B50</f>
        <v>Ushers Committee</v>
      </c>
      <c r="C50" s="13">
        <f>Details!F50</f>
        <v>2500</v>
      </c>
      <c r="D50" s="13">
        <f>Details!S50</f>
        <v>2500</v>
      </c>
      <c r="E50" s="335">
        <f t="shared" si="0"/>
        <v>0.3125</v>
      </c>
      <c r="F50" s="112">
        <f>Details!J50</f>
        <v>0</v>
      </c>
      <c r="G50" s="185">
        <f>Details!T50</f>
        <v>2500</v>
      </c>
      <c r="H50" s="335">
        <f t="shared" si="4"/>
        <v>0.3125</v>
      </c>
      <c r="I50" s="112">
        <f>Details!M51</f>
        <v>0</v>
      </c>
      <c r="J50" s="13">
        <f>Details!W51</f>
        <v>16000</v>
      </c>
      <c r="K50" s="335">
        <f t="shared" si="1"/>
        <v>2</v>
      </c>
      <c r="L50" s="97">
        <f>Details!Q51</f>
        <v>0</v>
      </c>
      <c r="M50" s="13">
        <f>Details!V50</f>
        <v>2500</v>
      </c>
      <c r="N50" s="335">
        <f t="shared" si="2"/>
        <v>0.3125</v>
      </c>
      <c r="O50" s="336">
        <f>Details!W50</f>
        <v>8000</v>
      </c>
      <c r="P50" s="13">
        <f>Details!Y51</f>
        <v>0</v>
      </c>
      <c r="Q50" s="335">
        <f t="shared" si="3"/>
        <v>0</v>
      </c>
      <c r="R50" s="336">
        <f>Details!Z51</f>
        <v>9000</v>
      </c>
    </row>
    <row r="51" spans="1:18">
      <c r="A51" s="66">
        <v>51</v>
      </c>
      <c r="B51" s="67" t="str">
        <f>Details!B51</f>
        <v>Visitation Committee</v>
      </c>
      <c r="C51" s="13">
        <f>Details!F51</f>
        <v>4500</v>
      </c>
      <c r="D51" s="13">
        <f>Details!S51</f>
        <v>4500</v>
      </c>
      <c r="E51" s="335">
        <f t="shared" si="0"/>
        <v>0.28125</v>
      </c>
      <c r="F51" s="112">
        <f>Details!J51</f>
        <v>3000</v>
      </c>
      <c r="G51" s="185">
        <f>Details!T51</f>
        <v>7500</v>
      </c>
      <c r="H51" s="335">
        <f t="shared" si="4"/>
        <v>0.46875</v>
      </c>
      <c r="I51" s="112">
        <f>Details!M52</f>
        <v>0</v>
      </c>
      <c r="J51" s="13">
        <f>Details!W52</f>
        <v>80500</v>
      </c>
      <c r="K51" s="335">
        <f t="shared" si="1"/>
        <v>5.03125</v>
      </c>
      <c r="L51" s="97">
        <f>Details!Q52</f>
        <v>0</v>
      </c>
      <c r="M51" s="13">
        <f>Details!V51</f>
        <v>7500</v>
      </c>
      <c r="N51" s="335">
        <f t="shared" si="2"/>
        <v>0.46875</v>
      </c>
      <c r="O51" s="336">
        <f>Details!W51</f>
        <v>16000</v>
      </c>
      <c r="P51" s="13">
        <f>Details!Y52</f>
        <v>0</v>
      </c>
      <c r="Q51" s="335">
        <f t="shared" si="3"/>
        <v>0</v>
      </c>
      <c r="R51" s="336">
        <f>Details!Z52</f>
        <v>36200</v>
      </c>
    </row>
    <row r="52" spans="1:18">
      <c r="A52" s="66">
        <v>52</v>
      </c>
      <c r="B52" s="67" t="str">
        <f>Details!B52</f>
        <v>WMU</v>
      </c>
      <c r="C52" s="13">
        <f>Details!F52</f>
        <v>42000</v>
      </c>
      <c r="D52" s="13">
        <f>Details!S52</f>
        <v>42000</v>
      </c>
      <c r="E52" s="335">
        <f>D52/$O52</f>
        <v>0.52173913043478259</v>
      </c>
      <c r="F52" s="112">
        <f>Details!J52</f>
        <v>6000</v>
      </c>
      <c r="G52" s="185">
        <f>Details!T52</f>
        <v>48000</v>
      </c>
      <c r="H52" s="335">
        <f t="shared" si="4"/>
        <v>0.59627329192546585</v>
      </c>
      <c r="I52" s="112">
        <f>Details!M53</f>
        <v>0</v>
      </c>
      <c r="J52" s="13">
        <f>Details!W53</f>
        <v>83000</v>
      </c>
      <c r="K52" s="335">
        <f t="shared" si="1"/>
        <v>1.031055900621118</v>
      </c>
      <c r="L52" s="97">
        <f>Details!Q53</f>
        <v>0</v>
      </c>
      <c r="M52" s="13">
        <f>Details!V52</f>
        <v>48000</v>
      </c>
      <c r="N52" s="335">
        <f t="shared" si="2"/>
        <v>0.59627329192546585</v>
      </c>
      <c r="O52" s="336">
        <f>Details!W52</f>
        <v>80500</v>
      </c>
      <c r="P52" s="13">
        <f>Details!Y53</f>
        <v>0</v>
      </c>
      <c r="Q52" s="335">
        <f t="shared" si="3"/>
        <v>0</v>
      </c>
      <c r="R52" s="336">
        <f>Details!Z53</f>
        <v>15000</v>
      </c>
    </row>
    <row r="53" spans="1:18">
      <c r="A53" s="66">
        <v>53</v>
      </c>
      <c r="B53" s="67" t="str">
        <f>Details!B53</f>
        <v>Youth Fellowship</v>
      </c>
      <c r="C53" s="13">
        <f>Details!F53</f>
        <v>69000</v>
      </c>
      <c r="D53" s="13">
        <f>Details!S53</f>
        <v>69000</v>
      </c>
      <c r="E53" s="335">
        <f>D53/$O53</f>
        <v>0.83132530120481929</v>
      </c>
      <c r="F53" s="112">
        <f>Details!J53</f>
        <v>25000</v>
      </c>
      <c r="G53" s="185">
        <f>Details!T53</f>
        <v>94000</v>
      </c>
      <c r="H53" s="335">
        <f t="shared" si="4"/>
        <v>1.1325301204819278</v>
      </c>
      <c r="I53" s="112">
        <f>Details!M54</f>
        <v>0</v>
      </c>
      <c r="J53" s="13">
        <f>Details!W54</f>
        <v>20000</v>
      </c>
      <c r="K53" s="335">
        <f t="shared" si="1"/>
        <v>0.24096385542168675</v>
      </c>
      <c r="L53" s="97">
        <f>Details!Q54</f>
        <v>0</v>
      </c>
      <c r="M53" s="13">
        <f>Details!V53</f>
        <v>94000</v>
      </c>
      <c r="N53" s="335">
        <f t="shared" si="2"/>
        <v>1.1325301204819278</v>
      </c>
      <c r="O53" s="336">
        <f>Details!W53</f>
        <v>83000</v>
      </c>
      <c r="P53" s="13">
        <f>Details!Y54</f>
        <v>0</v>
      </c>
      <c r="Q53" s="335">
        <f t="shared" si="3"/>
        <v>0</v>
      </c>
      <c r="R53" s="336">
        <f>Details!Z54</f>
        <v>60000</v>
      </c>
    </row>
    <row r="54" spans="1:18">
      <c r="A54" s="66">
        <v>54</v>
      </c>
      <c r="B54" s="67" t="str">
        <f>Details!B54</f>
        <v>Teenagers</v>
      </c>
      <c r="C54" s="13">
        <f>Details!F54</f>
        <v>34400</v>
      </c>
      <c r="D54" s="13">
        <f>Details!S54</f>
        <v>34400</v>
      </c>
      <c r="E54" s="335">
        <f>D54/$O54</f>
        <v>1.72</v>
      </c>
      <c r="F54" s="112">
        <f>Details!J54</f>
        <v>0</v>
      </c>
      <c r="G54" s="185">
        <f>Details!T54</f>
        <v>34400</v>
      </c>
      <c r="H54" s="335">
        <f t="shared" si="4"/>
        <v>1.72</v>
      </c>
      <c r="I54" s="112">
        <f>Details!M55</f>
        <v>0</v>
      </c>
      <c r="J54" s="13">
        <f>Details!W55</f>
        <v>0</v>
      </c>
      <c r="K54" s="335">
        <f t="shared" si="1"/>
        <v>0</v>
      </c>
      <c r="L54" s="97">
        <f>Details!Q55</f>
        <v>0</v>
      </c>
      <c r="M54" s="13">
        <f>Details!V54</f>
        <v>34400</v>
      </c>
      <c r="N54" s="335">
        <f t="shared" si="2"/>
        <v>1.72</v>
      </c>
      <c r="O54" s="336">
        <f>Details!W54</f>
        <v>20000</v>
      </c>
      <c r="P54" s="13">
        <f>Details!Y55</f>
        <v>0</v>
      </c>
      <c r="Q54" s="335">
        <f t="shared" si="3"/>
        <v>0</v>
      </c>
      <c r="R54" s="336">
        <f>Details!Z55</f>
        <v>0</v>
      </c>
    </row>
    <row r="55" spans="1:18" s="40" customFormat="1" hidden="1">
      <c r="A55" s="66">
        <v>55</v>
      </c>
      <c r="B55" s="67" t="str">
        <f>Details!B55</f>
        <v>Suspense account</v>
      </c>
      <c r="C55" s="13">
        <f>Details!F55</f>
        <v>0</v>
      </c>
      <c r="D55" s="13">
        <f>Details!S55</f>
        <v>0</v>
      </c>
      <c r="E55" s="335" t="e">
        <f t="shared" si="0"/>
        <v>#DIV/0!</v>
      </c>
      <c r="F55" s="112">
        <f>Details!J55</f>
        <v>0</v>
      </c>
      <c r="G55" s="185">
        <f>Details!T55</f>
        <v>0</v>
      </c>
      <c r="H55" s="335" t="e">
        <f t="shared" si="4"/>
        <v>#DIV/0!</v>
      </c>
      <c r="I55" s="112">
        <f>Details!M56</f>
        <v>0</v>
      </c>
      <c r="J55" s="13">
        <f>Details!W56</f>
        <v>0</v>
      </c>
      <c r="K55" s="335" t="e">
        <f t="shared" si="1"/>
        <v>#DIV/0!</v>
      </c>
      <c r="L55" s="97">
        <f>Details!Q56</f>
        <v>0</v>
      </c>
      <c r="M55" s="13"/>
      <c r="N55" s="335"/>
      <c r="O55" s="336"/>
      <c r="P55" s="13">
        <f>Details!Y56</f>
        <v>0</v>
      </c>
      <c r="Q55" s="335" t="e">
        <f t="shared" si="3"/>
        <v>#DIV/0!</v>
      </c>
      <c r="R55" s="336">
        <f>Details!Z56</f>
        <v>0</v>
      </c>
    </row>
    <row r="56" spans="1:18" hidden="1">
      <c r="A56" s="66">
        <v>56</v>
      </c>
      <c r="B56" s="67">
        <f>Details!B56</f>
        <v>0</v>
      </c>
      <c r="C56" s="13">
        <f>Details!F56</f>
        <v>0</v>
      </c>
      <c r="D56" s="13">
        <f>Details!S56</f>
        <v>0</v>
      </c>
      <c r="E56" s="339" t="e">
        <f t="shared" si="0"/>
        <v>#DIV/0!</v>
      </c>
      <c r="F56" s="114">
        <f>Details!J56</f>
        <v>0</v>
      </c>
      <c r="G56" s="186">
        <f>Details!T56</f>
        <v>0</v>
      </c>
      <c r="H56" s="337" t="e">
        <f t="shared" si="4"/>
        <v>#DIV/0!</v>
      </c>
      <c r="I56" s="114">
        <f>Details!M57</f>
        <v>0</v>
      </c>
      <c r="J56" s="14">
        <f>Details!W57</f>
        <v>2899812.4</v>
      </c>
      <c r="K56" s="337" t="e">
        <f t="shared" si="1"/>
        <v>#DIV/0!</v>
      </c>
      <c r="L56" s="98">
        <f>Details!Q57</f>
        <v>0</v>
      </c>
      <c r="M56" s="13"/>
      <c r="N56" s="337"/>
      <c r="O56" s="336"/>
      <c r="P56" s="13">
        <f>Details!Y57</f>
        <v>0</v>
      </c>
      <c r="Q56" s="335" t="e">
        <f t="shared" si="3"/>
        <v>#DIV/0!</v>
      </c>
      <c r="R56" s="336">
        <f>Details!Z57</f>
        <v>2350060.4900000002</v>
      </c>
    </row>
    <row r="57" spans="1:18" s="40" customFormat="1">
      <c r="A57" s="66">
        <v>57</v>
      </c>
      <c r="B57" s="69" t="str">
        <f>Details!B57</f>
        <v>B. CHURCH STAFF</v>
      </c>
      <c r="C57" s="14">
        <f>Details!F57</f>
        <v>619921.64</v>
      </c>
      <c r="D57" s="14">
        <f>Details!S57</f>
        <v>619921.64</v>
      </c>
      <c r="E57" s="337">
        <f t="shared" si="0"/>
        <v>0.21377991210741773</v>
      </c>
      <c r="F57" s="114">
        <f>Details!J57</f>
        <v>675247.89</v>
      </c>
      <c r="G57" s="186">
        <f>Details!T57</f>
        <v>1295169.53</v>
      </c>
      <c r="H57" s="337">
        <f t="shared" si="4"/>
        <v>0.44663907568641337</v>
      </c>
      <c r="I57" s="114">
        <f>Details!M58</f>
        <v>0</v>
      </c>
      <c r="J57" s="14">
        <f>Details!W58</f>
        <v>1635201.09</v>
      </c>
      <c r="K57" s="337">
        <f t="shared" si="1"/>
        <v>0.56389892325448365</v>
      </c>
      <c r="L57" s="98">
        <f>Details!Q58</f>
        <v>0</v>
      </c>
      <c r="M57" s="14">
        <f>Details!V57</f>
        <v>1295169.53</v>
      </c>
      <c r="N57" s="337">
        <f t="shared" si="2"/>
        <v>0.44663907568641337</v>
      </c>
      <c r="O57" s="531">
        <f>Details!W57</f>
        <v>2899812.4</v>
      </c>
      <c r="P57" s="14">
        <f>Details!Y58</f>
        <v>0</v>
      </c>
      <c r="Q57" s="337">
        <f t="shared" si="3"/>
        <v>0</v>
      </c>
      <c r="R57" s="531">
        <f>Details!Z58</f>
        <v>1122230.6300000001</v>
      </c>
    </row>
    <row r="58" spans="1:18">
      <c r="A58" s="66">
        <v>58</v>
      </c>
      <c r="B58" s="67" t="str">
        <f>Details!B58</f>
        <v>Church Pastor (salaries and allowances)</v>
      </c>
      <c r="C58" s="13">
        <f>Details!F58</f>
        <v>337220.38</v>
      </c>
      <c r="D58" s="13">
        <f>Details!S58</f>
        <v>337220.38</v>
      </c>
      <c r="E58" s="335">
        <f t="shared" si="0"/>
        <v>0.20622563308100533</v>
      </c>
      <c r="F58" s="112">
        <f>Details!J58</f>
        <v>337220.39</v>
      </c>
      <c r="G58" s="185">
        <f>Details!T58</f>
        <v>674440.77</v>
      </c>
      <c r="H58" s="335">
        <f t="shared" si="4"/>
        <v>0.41245127227746647</v>
      </c>
      <c r="I58" s="112">
        <f>Details!M59</f>
        <v>0</v>
      </c>
      <c r="J58" s="13">
        <f>Details!W59</f>
        <v>790000</v>
      </c>
      <c r="K58" s="335">
        <f t="shared" si="1"/>
        <v>0.4831210086827914</v>
      </c>
      <c r="L58" s="97">
        <f>Details!Q59</f>
        <v>0</v>
      </c>
      <c r="M58" s="13">
        <f>Details!V58</f>
        <v>674440.77</v>
      </c>
      <c r="N58" s="335">
        <f t="shared" si="2"/>
        <v>0.41245127227746647</v>
      </c>
      <c r="O58" s="336">
        <f>Details!W58</f>
        <v>1635201.09</v>
      </c>
      <c r="P58" s="13">
        <f>Details!Y59</f>
        <v>0</v>
      </c>
      <c r="Q58" s="335">
        <f t="shared" si="3"/>
        <v>0</v>
      </c>
      <c r="R58" s="336">
        <f>Details!Z59</f>
        <v>464500</v>
      </c>
    </row>
    <row r="59" spans="1:18">
      <c r="A59" s="66">
        <v>59</v>
      </c>
      <c r="B59" s="67" t="str">
        <f>Details!B59</f>
        <v>Other Pastors</v>
      </c>
      <c r="C59" s="13">
        <f>Details!F59</f>
        <v>181000</v>
      </c>
      <c r="D59" s="13">
        <f>Details!S59</f>
        <v>181000</v>
      </c>
      <c r="E59" s="335">
        <f>D59/$O59</f>
        <v>0.22911392405063291</v>
      </c>
      <c r="F59" s="112">
        <f>Details!J59</f>
        <v>237634</v>
      </c>
      <c r="G59" s="185">
        <f>Details!T59</f>
        <v>418634</v>
      </c>
      <c r="H59" s="335">
        <f t="shared" si="4"/>
        <v>0.52991645569620249</v>
      </c>
      <c r="I59" s="112">
        <f>Details!M60</f>
        <v>0</v>
      </c>
      <c r="J59" s="13">
        <f>Details!W60</f>
        <v>474611.31</v>
      </c>
      <c r="K59" s="335">
        <f t="shared" si="1"/>
        <v>0.60077381012658226</v>
      </c>
      <c r="L59" s="97">
        <f>Details!Q60</f>
        <v>0</v>
      </c>
      <c r="M59" s="13">
        <f>Details!V59</f>
        <v>418634</v>
      </c>
      <c r="N59" s="335">
        <f t="shared" si="2"/>
        <v>0.52991645569620249</v>
      </c>
      <c r="O59" s="336">
        <f>Details!W59</f>
        <v>790000</v>
      </c>
      <c r="P59" s="13">
        <f>Details!Y60</f>
        <v>0</v>
      </c>
      <c r="Q59" s="335">
        <f t="shared" si="3"/>
        <v>0</v>
      </c>
      <c r="R59" s="336">
        <f>Details!Z60</f>
        <v>266779.86</v>
      </c>
    </row>
    <row r="60" spans="1:18" s="40" customFormat="1">
      <c r="A60" s="66">
        <v>60</v>
      </c>
      <c r="B60" s="67" t="str">
        <f>Details!B60</f>
        <v>Janitor</v>
      </c>
      <c r="C60" s="13">
        <f>Details!F60</f>
        <v>101701.26</v>
      </c>
      <c r="D60" s="13">
        <f>Details!S60</f>
        <v>101701.26</v>
      </c>
      <c r="E60" s="335">
        <f t="shared" si="0"/>
        <v>0.21428326265549802</v>
      </c>
      <c r="F60" s="112">
        <f>Details!J60</f>
        <v>100393.5</v>
      </c>
      <c r="G60" s="185">
        <f>Details!T60</f>
        <v>202094.76</v>
      </c>
      <c r="H60" s="335">
        <f t="shared" si="4"/>
        <v>0.42581109160672975</v>
      </c>
      <c r="I60" s="112">
        <f>Details!M61</f>
        <v>0</v>
      </c>
      <c r="J60" s="13">
        <f>Details!W61</f>
        <v>0</v>
      </c>
      <c r="K60" s="335">
        <f t="shared" si="1"/>
        <v>0</v>
      </c>
      <c r="L60" s="97">
        <f>Details!Q61</f>
        <v>0</v>
      </c>
      <c r="M60" s="13">
        <f>Details!V60</f>
        <v>202094.76</v>
      </c>
      <c r="N60" s="335">
        <f t="shared" si="2"/>
        <v>0.42581109160672975</v>
      </c>
      <c r="O60" s="336">
        <f>Details!W60</f>
        <v>474611.31</v>
      </c>
      <c r="P60" s="13">
        <f>Details!Y61</f>
        <v>0</v>
      </c>
      <c r="Q60" s="335">
        <f t="shared" si="3"/>
        <v>0</v>
      </c>
      <c r="R60" s="336">
        <f>Details!Z61</f>
        <v>496550</v>
      </c>
    </row>
    <row r="61" spans="1:18" ht="19.5" hidden="1" customHeight="1">
      <c r="A61" s="66">
        <v>61</v>
      </c>
      <c r="B61" s="67" t="str">
        <f>Details!B61</f>
        <v>Appreciation service for Pastor</v>
      </c>
      <c r="C61" s="13">
        <f>Details!F61</f>
        <v>0</v>
      </c>
      <c r="D61" s="13">
        <f>Details!S61</f>
        <v>0</v>
      </c>
      <c r="E61" s="337" t="e">
        <f t="shared" si="0"/>
        <v>#DIV/0!</v>
      </c>
      <c r="F61" s="114">
        <f>Details!J61</f>
        <v>0</v>
      </c>
      <c r="G61" s="186">
        <f>Details!T61</f>
        <v>0</v>
      </c>
      <c r="H61" s="337" t="e">
        <f t="shared" si="4"/>
        <v>#DIV/0!</v>
      </c>
      <c r="I61" s="114">
        <f>Details!M62</f>
        <v>0</v>
      </c>
      <c r="J61" s="14">
        <f>Details!W62</f>
        <v>1068600</v>
      </c>
      <c r="K61" s="337" t="e">
        <f t="shared" si="1"/>
        <v>#DIV/0!</v>
      </c>
      <c r="L61" s="98">
        <f>Details!Q62</f>
        <v>0</v>
      </c>
      <c r="M61" s="13">
        <f>Details!V61</f>
        <v>0</v>
      </c>
      <c r="N61" s="337" t="s">
        <v>228</v>
      </c>
      <c r="O61" s="336">
        <f>Details!W61</f>
        <v>0</v>
      </c>
      <c r="P61" s="13">
        <f>Details!Y62</f>
        <v>0</v>
      </c>
      <c r="Q61" s="335" t="e">
        <f t="shared" si="3"/>
        <v>#DIV/0!</v>
      </c>
      <c r="R61" s="336">
        <f>Details!Z62</f>
        <v>809411.77</v>
      </c>
    </row>
    <row r="62" spans="1:18">
      <c r="A62" s="66">
        <v>62</v>
      </c>
      <c r="B62" s="69" t="str">
        <f>Details!B62</f>
        <v>C. OPERATION COSTS</v>
      </c>
      <c r="C62" s="14">
        <f>Details!F62</f>
        <v>208629.23925000001</v>
      </c>
      <c r="D62" s="14">
        <f>Details!S62</f>
        <v>208629.23925000001</v>
      </c>
      <c r="E62" s="337">
        <f t="shared" si="0"/>
        <v>0.19523604646266143</v>
      </c>
      <c r="F62" s="114">
        <f>Details!J62</f>
        <v>621111.48</v>
      </c>
      <c r="G62" s="186">
        <f>Details!T62</f>
        <v>829740.71924999997</v>
      </c>
      <c r="H62" s="337">
        <f t="shared" si="4"/>
        <v>0.77647456414935423</v>
      </c>
      <c r="I62" s="112">
        <f>Details!M64</f>
        <v>0</v>
      </c>
      <c r="J62" s="13">
        <f>Details!W64</f>
        <v>22000</v>
      </c>
      <c r="K62" s="335">
        <f t="shared" si="1"/>
        <v>2.0587684821261464E-2</v>
      </c>
      <c r="L62" s="97">
        <f>Details!Q64</f>
        <v>0</v>
      </c>
      <c r="M62" s="13">
        <f>Details!V62</f>
        <v>829740.71924999997</v>
      </c>
      <c r="N62" s="335">
        <f t="shared" si="2"/>
        <v>0.77647456414935423</v>
      </c>
      <c r="O62" s="336">
        <f>Details!W62</f>
        <v>1068600</v>
      </c>
      <c r="P62" s="13">
        <f>Details!Y64</f>
        <v>0</v>
      </c>
      <c r="Q62" s="335">
        <f t="shared" si="3"/>
        <v>0</v>
      </c>
      <c r="R62" s="336">
        <f>Details!Z64</f>
        <v>20986.770000000004</v>
      </c>
    </row>
    <row r="63" spans="1:18">
      <c r="A63" s="66">
        <v>63</v>
      </c>
      <c r="B63" s="67" t="str">
        <f>Details!B63</f>
        <v>10th Year anniversary celebrations</v>
      </c>
      <c r="C63" s="13">
        <f>Details!F63</f>
        <v>0</v>
      </c>
      <c r="D63" s="13">
        <f>Details!S63</f>
        <v>0</v>
      </c>
      <c r="E63" s="335">
        <f t="shared" si="0"/>
        <v>0</v>
      </c>
      <c r="F63" s="112">
        <f>Details!J63</f>
        <v>300000</v>
      </c>
      <c r="G63" s="185">
        <f>Details!T63</f>
        <v>300000</v>
      </c>
      <c r="H63" s="335">
        <f t="shared" si="4"/>
        <v>1.5</v>
      </c>
      <c r="I63" s="112">
        <f>Details!M65</f>
        <v>0</v>
      </c>
      <c r="J63" s="13">
        <f>Details!W65</f>
        <v>24000</v>
      </c>
      <c r="K63" s="335">
        <f t="shared" si="1"/>
        <v>0.12</v>
      </c>
      <c r="L63" s="97">
        <f>Details!Q65</f>
        <v>0</v>
      </c>
      <c r="M63" s="13">
        <f>Details!V63</f>
        <v>300000</v>
      </c>
      <c r="N63" s="335">
        <f t="shared" si="2"/>
        <v>1.5</v>
      </c>
      <c r="O63" s="336">
        <f>Details!W63</f>
        <v>200000</v>
      </c>
      <c r="P63" s="13">
        <f>Details!Y65</f>
        <v>0</v>
      </c>
      <c r="Q63" s="335">
        <f t="shared" si="3"/>
        <v>0</v>
      </c>
      <c r="R63" s="336">
        <f>Details!Z65</f>
        <v>20020</v>
      </c>
    </row>
    <row r="64" spans="1:18">
      <c r="A64" s="66">
        <v>64</v>
      </c>
      <c r="B64" s="67" t="str">
        <f>Details!B64</f>
        <v xml:space="preserve">Bank charges: sms, maintenance, VAT etc. </v>
      </c>
      <c r="C64" s="13">
        <f>Details!F64</f>
        <v>8419.2400000000016</v>
      </c>
      <c r="D64" s="13">
        <f>Details!S64</f>
        <v>8419.2400000000016</v>
      </c>
      <c r="E64" s="335">
        <f t="shared" si="0"/>
        <v>0.38269272727272735</v>
      </c>
      <c r="F64" s="112">
        <f>Details!J64</f>
        <v>6801.48</v>
      </c>
      <c r="G64" s="185">
        <f>Details!T64</f>
        <v>15220.720000000001</v>
      </c>
      <c r="H64" s="335">
        <f t="shared" si="4"/>
        <v>0.69185090909090918</v>
      </c>
      <c r="I64" s="112">
        <f>Details!M66</f>
        <v>0</v>
      </c>
      <c r="J64" s="13">
        <f>Details!W66</f>
        <v>60000</v>
      </c>
      <c r="K64" s="335">
        <f t="shared" si="1"/>
        <v>2.7272727272727271</v>
      </c>
      <c r="L64" s="97">
        <f>Details!Q66</f>
        <v>0</v>
      </c>
      <c r="M64" s="13">
        <f>Details!V64</f>
        <v>15220.720000000001</v>
      </c>
      <c r="N64" s="335">
        <f t="shared" si="2"/>
        <v>0.69185090909090918</v>
      </c>
      <c r="O64" s="336">
        <f>Details!W64</f>
        <v>22000</v>
      </c>
      <c r="P64" s="13">
        <f>Details!Y66</f>
        <v>0</v>
      </c>
      <c r="Q64" s="335">
        <f t="shared" si="3"/>
        <v>0</v>
      </c>
      <c r="R64" s="336">
        <f>Details!Z66</f>
        <v>80100</v>
      </c>
    </row>
    <row r="65" spans="1:18">
      <c r="A65" s="66">
        <v>65</v>
      </c>
      <c r="B65" s="67" t="str">
        <f>Details!B65</f>
        <v>Church Council refreshments</v>
      </c>
      <c r="C65" s="13">
        <f>Details!F65</f>
        <v>6000</v>
      </c>
      <c r="D65" s="13">
        <f>Details!S65</f>
        <v>6000</v>
      </c>
      <c r="E65" s="335">
        <f t="shared" si="0"/>
        <v>0.25</v>
      </c>
      <c r="F65" s="112">
        <f>Details!J65</f>
        <v>2000</v>
      </c>
      <c r="G65" s="185">
        <f>Details!T65</f>
        <v>8000</v>
      </c>
      <c r="H65" s="335">
        <f t="shared" si="4"/>
        <v>0.33333333333333331</v>
      </c>
      <c r="I65" s="112">
        <f>Details!M67</f>
        <v>0</v>
      </c>
      <c r="J65" s="13">
        <f>Details!W67</f>
        <v>20000</v>
      </c>
      <c r="K65" s="335">
        <f t="shared" si="1"/>
        <v>0.83333333333333337</v>
      </c>
      <c r="L65" s="97">
        <f>Details!Q67</f>
        <v>0</v>
      </c>
      <c r="M65" s="13">
        <f>Details!V65</f>
        <v>8000</v>
      </c>
      <c r="N65" s="335">
        <f t="shared" si="2"/>
        <v>0.33333333333333331</v>
      </c>
      <c r="O65" s="336">
        <f>Details!W65</f>
        <v>24000</v>
      </c>
      <c r="P65" s="13">
        <f>Details!Y67</f>
        <v>0</v>
      </c>
      <c r="Q65" s="335">
        <f t="shared" si="3"/>
        <v>0</v>
      </c>
      <c r="R65" s="336">
        <f>Details!Z67</f>
        <v>11000</v>
      </c>
    </row>
    <row r="66" spans="1:18">
      <c r="A66" s="66">
        <v>66</v>
      </c>
      <c r="B66" s="67" t="str">
        <f>Details!B66</f>
        <v>Church secreteriat</v>
      </c>
      <c r="C66" s="13">
        <f>Details!F66</f>
        <v>28660</v>
      </c>
      <c r="D66" s="13">
        <f>Details!S66</f>
        <v>28660</v>
      </c>
      <c r="E66" s="335">
        <f t="shared" si="0"/>
        <v>0.47766666666666668</v>
      </c>
      <c r="F66" s="112">
        <f>Details!J66</f>
        <v>26810</v>
      </c>
      <c r="G66" s="185">
        <f>Details!T66</f>
        <v>55470</v>
      </c>
      <c r="H66" s="335">
        <f t="shared" si="4"/>
        <v>0.92449999999999999</v>
      </c>
      <c r="I66" s="112">
        <f>Details!M68</f>
        <v>0</v>
      </c>
      <c r="J66" s="13">
        <f>Details!W68</f>
        <v>32000</v>
      </c>
      <c r="K66" s="335">
        <f t="shared" si="1"/>
        <v>0.53333333333333333</v>
      </c>
      <c r="L66" s="97">
        <f>Details!Q68</f>
        <v>0</v>
      </c>
      <c r="M66" s="13">
        <f>Details!V66</f>
        <v>55470</v>
      </c>
      <c r="N66" s="335">
        <f t="shared" si="2"/>
        <v>0.92449999999999999</v>
      </c>
      <c r="O66" s="336">
        <f>Details!W66</f>
        <v>60000</v>
      </c>
      <c r="P66" s="13">
        <f>Details!Y68</f>
        <v>0</v>
      </c>
      <c r="Q66" s="335">
        <f t="shared" si="3"/>
        <v>0</v>
      </c>
      <c r="R66" s="336">
        <f>Details!Z68</f>
        <v>0</v>
      </c>
    </row>
    <row r="67" spans="1:18">
      <c r="A67" s="66">
        <v>67</v>
      </c>
      <c r="B67" s="67" t="str">
        <f>Details!B67</f>
        <v>Convention session</v>
      </c>
      <c r="C67" s="13">
        <f>Details!F67</f>
        <v>10000</v>
      </c>
      <c r="D67" s="13">
        <f>Details!S67</f>
        <v>10000</v>
      </c>
      <c r="E67" s="335">
        <f t="shared" si="0"/>
        <v>0.5</v>
      </c>
      <c r="F67" s="112">
        <f>Details!J67</f>
        <v>112500</v>
      </c>
      <c r="G67" s="185">
        <f>Details!T67</f>
        <v>122500</v>
      </c>
      <c r="H67" s="335">
        <f t="shared" si="4"/>
        <v>6.125</v>
      </c>
      <c r="I67" s="112">
        <f>Details!M69</f>
        <v>0</v>
      </c>
      <c r="J67" s="13">
        <f>Details!W69</f>
        <v>48000</v>
      </c>
      <c r="K67" s="335">
        <f t="shared" si="1"/>
        <v>2.4</v>
      </c>
      <c r="L67" s="97">
        <f>Details!Q69</f>
        <v>0</v>
      </c>
      <c r="M67" s="13">
        <f>Details!V67</f>
        <v>122500</v>
      </c>
      <c r="N67" s="335">
        <f t="shared" si="2"/>
        <v>6.125</v>
      </c>
      <c r="O67" s="336">
        <f>Details!W67</f>
        <v>20000</v>
      </c>
      <c r="P67" s="13">
        <f>Details!Y69</f>
        <v>0</v>
      </c>
      <c r="Q67" s="335">
        <f t="shared" si="3"/>
        <v>0</v>
      </c>
      <c r="R67" s="336">
        <f>Details!Z69</f>
        <v>15000</v>
      </c>
    </row>
    <row r="68" spans="1:18">
      <c r="A68" s="66">
        <v>68</v>
      </c>
      <c r="B68" s="67" t="str">
        <f>Details!B68</f>
        <v>Electricity - church auditorium</v>
      </c>
      <c r="C68" s="13">
        <f>Details!F68</f>
        <v>5000</v>
      </c>
      <c r="D68" s="13">
        <f>Details!S68</f>
        <v>5000</v>
      </c>
      <c r="E68" s="338">
        <f t="shared" si="0"/>
        <v>0.15625</v>
      </c>
      <c r="F68" s="112">
        <f>Details!J68</f>
        <v>15000</v>
      </c>
      <c r="G68" s="185">
        <f>Details!T68</f>
        <v>20000</v>
      </c>
      <c r="H68" s="335">
        <f t="shared" si="4"/>
        <v>0.625</v>
      </c>
      <c r="I68" s="112">
        <f>Details!M70</f>
        <v>0</v>
      </c>
      <c r="J68" s="13">
        <f>Details!W70</f>
        <v>265835.15999999997</v>
      </c>
      <c r="K68" s="335">
        <f t="shared" si="1"/>
        <v>8.3073487499999992</v>
      </c>
      <c r="L68" s="97">
        <f>Details!Q70</f>
        <v>0</v>
      </c>
      <c r="M68" s="13">
        <f>Details!V68</f>
        <v>20000</v>
      </c>
      <c r="N68" s="335">
        <f t="shared" si="2"/>
        <v>0.625</v>
      </c>
      <c r="O68" s="336">
        <f>Details!W68</f>
        <v>32000</v>
      </c>
      <c r="P68" s="13">
        <f>Details!Y70</f>
        <v>0</v>
      </c>
      <c r="Q68" s="335">
        <f t="shared" si="3"/>
        <v>0</v>
      </c>
      <c r="R68" s="336">
        <f>Details!Z70</f>
        <v>148225</v>
      </c>
    </row>
    <row r="69" spans="1:18">
      <c r="A69" s="66">
        <v>69</v>
      </c>
      <c r="B69" s="67" t="str">
        <f>Details!B69</f>
        <v>Electricity - Pastorium</v>
      </c>
      <c r="C69" s="13">
        <f>Details!F69</f>
        <v>10000</v>
      </c>
      <c r="D69" s="13">
        <f>Details!S69</f>
        <v>10000</v>
      </c>
      <c r="E69" s="335">
        <f t="shared" si="0"/>
        <v>0.20833333333333334</v>
      </c>
      <c r="F69" s="112">
        <f>Details!J69</f>
        <v>0</v>
      </c>
      <c r="G69" s="185">
        <f>Details!T69</f>
        <v>10000</v>
      </c>
      <c r="H69" s="335">
        <f t="shared" si="4"/>
        <v>0.20833333333333334</v>
      </c>
      <c r="I69" s="112">
        <f>Details!M71</f>
        <v>0</v>
      </c>
      <c r="J69" s="13">
        <f>Details!W71</f>
        <v>110764.84</v>
      </c>
      <c r="K69" s="335">
        <f t="shared" si="1"/>
        <v>2.3076008333333333</v>
      </c>
      <c r="L69" s="97">
        <f>Details!Q71</f>
        <v>0</v>
      </c>
      <c r="M69" s="13">
        <f>Details!V69</f>
        <v>10000</v>
      </c>
      <c r="N69" s="335">
        <f t="shared" si="2"/>
        <v>0.20833333333333334</v>
      </c>
      <c r="O69" s="336">
        <f>Details!W69</f>
        <v>48000</v>
      </c>
      <c r="P69" s="13">
        <f>Details!Y71</f>
        <v>0</v>
      </c>
      <c r="Q69" s="335">
        <f t="shared" si="3"/>
        <v>0</v>
      </c>
      <c r="R69" s="336">
        <f>Details!Z71</f>
        <v>105890</v>
      </c>
    </row>
    <row r="70" spans="1:18">
      <c r="A70" s="66">
        <v>70</v>
      </c>
      <c r="B70" s="67" t="str">
        <f>Details!B70</f>
        <v>Generators - fuel and maintenance church auditorium</v>
      </c>
      <c r="C70" s="13">
        <f>Details!F70</f>
        <v>49349.999250000001</v>
      </c>
      <c r="D70" s="13">
        <f>Details!S70</f>
        <v>49349.999250000001</v>
      </c>
      <c r="E70" s="335">
        <f t="shared" si="0"/>
        <v>0.18564135477790072</v>
      </c>
      <c r="F70" s="112">
        <f>Details!J70</f>
        <v>87500</v>
      </c>
      <c r="G70" s="185">
        <f>Details!T70</f>
        <v>136849.99924999999</v>
      </c>
      <c r="H70" s="335">
        <f t="shared" si="4"/>
        <v>0.51479269803888994</v>
      </c>
      <c r="I70" s="112">
        <f>Details!M72</f>
        <v>0</v>
      </c>
      <c r="J70" s="13">
        <f>Details!W72</f>
        <v>0</v>
      </c>
      <c r="K70" s="335">
        <f t="shared" si="1"/>
        <v>0</v>
      </c>
      <c r="L70" s="97">
        <f>Details!Q72</f>
        <v>0</v>
      </c>
      <c r="M70" s="13">
        <f>Details!V70</f>
        <v>136849.99924999999</v>
      </c>
      <c r="N70" s="335">
        <f t="shared" si="2"/>
        <v>0.51479269803888994</v>
      </c>
      <c r="O70" s="336">
        <f>Details!W70</f>
        <v>265835.15999999997</v>
      </c>
      <c r="P70" s="13">
        <f>Details!Y72</f>
        <v>0</v>
      </c>
      <c r="Q70" s="335">
        <f t="shared" si="3"/>
        <v>0</v>
      </c>
      <c r="R70" s="336">
        <f>Details!Z72</f>
        <v>0</v>
      </c>
    </row>
    <row r="71" spans="1:18">
      <c r="A71" s="66">
        <v>71</v>
      </c>
      <c r="B71" s="67" t="str">
        <f>Details!B71</f>
        <v>Generators - fuel and maintenance pastorium</v>
      </c>
      <c r="C71" s="13">
        <f>Details!F71</f>
        <v>42400</v>
      </c>
      <c r="D71" s="13">
        <f>Details!S71</f>
        <v>42400</v>
      </c>
      <c r="E71" s="335">
        <f>D71/$O71</f>
        <v>0.38279295126504043</v>
      </c>
      <c r="F71" s="112">
        <f>Details!J71</f>
        <v>57500</v>
      </c>
      <c r="G71" s="185">
        <f>Details!T71</f>
        <v>99900</v>
      </c>
      <c r="H71" s="335">
        <f t="shared" si="4"/>
        <v>0.90191075074003635</v>
      </c>
      <c r="I71" s="112">
        <f>Details!M73</f>
        <v>0</v>
      </c>
      <c r="J71" s="13">
        <f>Details!W73</f>
        <v>6000</v>
      </c>
      <c r="K71" s="335">
        <f t="shared" ref="K71:K111" si="5">J71/$O71</f>
        <v>5.4168813858260438E-2</v>
      </c>
      <c r="L71" s="97">
        <f>Details!Q73</f>
        <v>0</v>
      </c>
      <c r="M71" s="13">
        <f>Details!V71</f>
        <v>99900</v>
      </c>
      <c r="N71" s="335">
        <f t="shared" ref="N71:N77" si="6">M71/$O71</f>
        <v>0.90191075074003635</v>
      </c>
      <c r="O71" s="336">
        <f>Details!W71</f>
        <v>110764.84</v>
      </c>
      <c r="P71" s="13">
        <f>Details!Y73</f>
        <v>0</v>
      </c>
      <c r="Q71" s="335">
        <f t="shared" ref="Q71:Q111" si="7">P71/$O71</f>
        <v>0</v>
      </c>
      <c r="R71" s="336">
        <f>Details!Z73</f>
        <v>8800</v>
      </c>
    </row>
    <row r="72" spans="1:18" ht="21" hidden="1" customHeight="1">
      <c r="A72" s="66">
        <v>72</v>
      </c>
      <c r="B72" s="67" t="str">
        <f>Details!B72</f>
        <v>Keep fit instructor</v>
      </c>
      <c r="C72" s="13">
        <f>Details!F72</f>
        <v>0</v>
      </c>
      <c r="D72" s="13">
        <f>Details!S72</f>
        <v>0</v>
      </c>
      <c r="E72" s="335" t="e">
        <f>D72/$O72</f>
        <v>#DIV/0!</v>
      </c>
      <c r="F72" s="113">
        <f>Details!J72</f>
        <v>0</v>
      </c>
      <c r="G72" s="187">
        <f>Details!T72</f>
        <v>0</v>
      </c>
      <c r="H72" s="338" t="e">
        <f t="shared" ref="H72:H112" si="8">G72/$O72</f>
        <v>#DIV/0!</v>
      </c>
      <c r="I72" s="113">
        <f>Details!M74</f>
        <v>0</v>
      </c>
      <c r="J72" s="65">
        <f>Details!W74</f>
        <v>50000</v>
      </c>
      <c r="K72" s="338" t="e">
        <f t="shared" si="5"/>
        <v>#DIV/0!</v>
      </c>
      <c r="L72" s="111">
        <f>Details!Q74</f>
        <v>0</v>
      </c>
      <c r="M72" s="13">
        <f>Details!V72</f>
        <v>0</v>
      </c>
      <c r="N72" s="338"/>
      <c r="O72" s="336">
        <f>Details!W72</f>
        <v>0</v>
      </c>
      <c r="P72" s="13">
        <f>Details!Y74</f>
        <v>0</v>
      </c>
      <c r="Q72" s="335" t="e">
        <f t="shared" si="7"/>
        <v>#DIV/0!</v>
      </c>
      <c r="R72" s="336">
        <f>Details!Z74</f>
        <v>90390</v>
      </c>
    </row>
    <row r="73" spans="1:18">
      <c r="A73" s="66">
        <v>73</v>
      </c>
      <c r="B73" s="67" t="str">
        <f>Details!B73</f>
        <v xml:space="preserve">Ministers' Conference </v>
      </c>
      <c r="C73" s="13">
        <f>Details!F73</f>
        <v>0</v>
      </c>
      <c r="D73" s="13">
        <f>Details!S73</f>
        <v>0</v>
      </c>
      <c r="E73" s="335">
        <f>D73/$O73</f>
        <v>0</v>
      </c>
      <c r="F73" s="112">
        <f>Details!J73</f>
        <v>0</v>
      </c>
      <c r="G73" s="185">
        <f>Details!T73</f>
        <v>0</v>
      </c>
      <c r="H73" s="335">
        <f t="shared" si="8"/>
        <v>0</v>
      </c>
      <c r="I73" s="112">
        <f>Details!M75</f>
        <v>0</v>
      </c>
      <c r="J73" s="13">
        <f>Details!W75</f>
        <v>0</v>
      </c>
      <c r="K73" s="335">
        <f t="shared" si="5"/>
        <v>0</v>
      </c>
      <c r="L73" s="97">
        <f>Details!Q75</f>
        <v>0</v>
      </c>
      <c r="M73" s="13">
        <f>Details!V73</f>
        <v>0</v>
      </c>
      <c r="N73" s="335">
        <f t="shared" si="6"/>
        <v>0</v>
      </c>
      <c r="O73" s="336">
        <f>Details!W73</f>
        <v>6000</v>
      </c>
      <c r="P73" s="13">
        <f>Details!Y75</f>
        <v>0</v>
      </c>
      <c r="Q73" s="335">
        <f t="shared" si="7"/>
        <v>0</v>
      </c>
      <c r="R73" s="336">
        <f>Details!Z75</f>
        <v>22000</v>
      </c>
    </row>
    <row r="74" spans="1:18" s="407" customFormat="1" ht="34.5">
      <c r="A74" s="126">
        <v>74</v>
      </c>
      <c r="B74" s="702" t="str">
        <f>Details!B74</f>
        <v>Miscellanous (transport for CAN Minister, honorarium for supervisor)</v>
      </c>
      <c r="C74" s="65">
        <f>Details!F74</f>
        <v>5000</v>
      </c>
      <c r="D74" s="65">
        <f>Details!S74</f>
        <v>5000</v>
      </c>
      <c r="E74" s="338">
        <f>D74/$O74</f>
        <v>0.1</v>
      </c>
      <c r="F74" s="113">
        <f>Details!J74</f>
        <v>13000</v>
      </c>
      <c r="G74" s="187">
        <f>Details!T74</f>
        <v>18000</v>
      </c>
      <c r="H74" s="338">
        <f t="shared" si="8"/>
        <v>0.36</v>
      </c>
      <c r="I74" s="113">
        <f>Details!M76</f>
        <v>0</v>
      </c>
      <c r="J74" s="65">
        <f>Details!W76</f>
        <v>25000</v>
      </c>
      <c r="K74" s="338">
        <f t="shared" si="5"/>
        <v>0.5</v>
      </c>
      <c r="L74" s="111">
        <f>Details!Q76</f>
        <v>0</v>
      </c>
      <c r="M74" s="65">
        <f>Details!V74</f>
        <v>18000</v>
      </c>
      <c r="N74" s="338">
        <f t="shared" si="6"/>
        <v>0.36</v>
      </c>
      <c r="O74" s="406">
        <f>Details!W74</f>
        <v>50000</v>
      </c>
      <c r="P74" s="65">
        <f>Details!Y76</f>
        <v>0</v>
      </c>
      <c r="Q74" s="338">
        <f t="shared" si="7"/>
        <v>0</v>
      </c>
      <c r="R74" s="406">
        <f>Details!Z76</f>
        <v>30500</v>
      </c>
    </row>
    <row r="75" spans="1:18">
      <c r="A75" s="66">
        <v>75</v>
      </c>
      <c r="B75" s="67" t="str">
        <f>Details!B75</f>
        <v>Motorcycle</v>
      </c>
      <c r="C75" s="13">
        <f>Details!F75</f>
        <v>3800</v>
      </c>
      <c r="D75" s="13">
        <f>Details!S75</f>
        <v>3800</v>
      </c>
      <c r="E75" s="335"/>
      <c r="F75" s="112">
        <f>Details!J75</f>
        <v>0</v>
      </c>
      <c r="G75" s="185">
        <f>Details!T75</f>
        <v>3800</v>
      </c>
      <c r="H75" s="335"/>
      <c r="I75" s="112">
        <f>Details!M77</f>
        <v>0</v>
      </c>
      <c r="J75" s="13">
        <f>Details!W77</f>
        <v>150000</v>
      </c>
      <c r="K75" s="335" t="e">
        <f t="shared" si="5"/>
        <v>#DIV/0!</v>
      </c>
      <c r="L75" s="97">
        <f>Details!Q77</f>
        <v>0</v>
      </c>
      <c r="M75" s="13">
        <f>Details!V75</f>
        <v>3800</v>
      </c>
      <c r="N75" s="335" t="e">
        <f t="shared" si="6"/>
        <v>#DIV/0!</v>
      </c>
      <c r="O75" s="336">
        <f>Details!W75</f>
        <v>0</v>
      </c>
      <c r="P75" s="13">
        <f>Details!Y77</f>
        <v>0</v>
      </c>
      <c r="Q75" s="335" t="e">
        <f t="shared" si="7"/>
        <v>#DIV/0!</v>
      </c>
      <c r="R75" s="336">
        <f>Details!Z77</f>
        <v>205000</v>
      </c>
    </row>
    <row r="76" spans="1:18">
      <c r="A76" s="66">
        <v>76</v>
      </c>
      <c r="B76" s="67" t="str">
        <f>Details!B76</f>
        <v>Ogbomoso Conference</v>
      </c>
      <c r="C76" s="13">
        <f>Details!F76</f>
        <v>0</v>
      </c>
      <c r="D76" s="13">
        <f>Details!S76</f>
        <v>0</v>
      </c>
      <c r="E76" s="335">
        <f>D76/$O76</f>
        <v>0</v>
      </c>
      <c r="F76" s="112">
        <f>Details!J76</f>
        <v>0</v>
      </c>
      <c r="G76" s="185">
        <f>Details!T76</f>
        <v>0</v>
      </c>
      <c r="H76" s="335">
        <f t="shared" si="8"/>
        <v>0</v>
      </c>
      <c r="I76" s="112">
        <f>Details!M78</f>
        <v>0</v>
      </c>
      <c r="J76" s="13">
        <f>Details!W78</f>
        <v>5000</v>
      </c>
      <c r="K76" s="335">
        <f t="shared" si="5"/>
        <v>0.2</v>
      </c>
      <c r="L76" s="97">
        <f>Details!Q78</f>
        <v>0</v>
      </c>
      <c r="M76" s="13">
        <f>Details!V76</f>
        <v>0</v>
      </c>
      <c r="N76" s="335">
        <f t="shared" si="6"/>
        <v>0</v>
      </c>
      <c r="O76" s="336">
        <f>Details!W76</f>
        <v>25000</v>
      </c>
      <c r="P76" s="13">
        <f>Details!Y78</f>
        <v>0</v>
      </c>
      <c r="Q76" s="335">
        <f t="shared" si="7"/>
        <v>0</v>
      </c>
      <c r="R76" s="336">
        <f>Details!Z78</f>
        <v>5000</v>
      </c>
    </row>
    <row r="77" spans="1:18">
      <c r="A77" s="66">
        <v>77</v>
      </c>
      <c r="B77" s="67" t="str">
        <f>Details!B77</f>
        <v xml:space="preserve">Pastorium rent &amp; maintenance </v>
      </c>
      <c r="C77" s="13">
        <f>Details!F77</f>
        <v>0</v>
      </c>
      <c r="D77" s="13">
        <f>Details!S77</f>
        <v>0</v>
      </c>
      <c r="E77" s="335">
        <f>D77/$O77</f>
        <v>0</v>
      </c>
      <c r="F77" s="112">
        <f>Details!J77</f>
        <v>0</v>
      </c>
      <c r="G77" s="185">
        <f>Details!T77</f>
        <v>0</v>
      </c>
      <c r="H77" s="335">
        <f t="shared" si="8"/>
        <v>0</v>
      </c>
      <c r="I77" s="112">
        <f>Details!M79</f>
        <v>0</v>
      </c>
      <c r="J77" s="13">
        <f>Details!W79</f>
        <v>50000</v>
      </c>
      <c r="K77" s="335">
        <f t="shared" si="5"/>
        <v>0.33333333333333331</v>
      </c>
      <c r="L77" s="97">
        <f>Details!Q79</f>
        <v>0</v>
      </c>
      <c r="M77" s="13">
        <f>Details!V77</f>
        <v>0</v>
      </c>
      <c r="N77" s="335">
        <f t="shared" si="6"/>
        <v>0</v>
      </c>
      <c r="O77" s="336">
        <f>Details!W77</f>
        <v>150000</v>
      </c>
      <c r="P77" s="13">
        <f>Details!Y79</f>
        <v>0</v>
      </c>
      <c r="Q77" s="335">
        <f t="shared" si="7"/>
        <v>0</v>
      </c>
      <c r="R77" s="336">
        <f>Details!Z79</f>
        <v>46500</v>
      </c>
    </row>
    <row r="78" spans="1:18" s="40" customFormat="1">
      <c r="A78" s="66">
        <v>78</v>
      </c>
      <c r="B78" s="67" t="str">
        <f>Details!B78</f>
        <v>Pastors Wives' retreat</v>
      </c>
      <c r="C78" s="13">
        <f>Details!F78</f>
        <v>0</v>
      </c>
      <c r="D78" s="13">
        <f>Details!S78</f>
        <v>0</v>
      </c>
      <c r="E78" s="335">
        <f>D78/$O78</f>
        <v>0</v>
      </c>
      <c r="F78" s="112">
        <f>Details!J78</f>
        <v>0</v>
      </c>
      <c r="G78" s="185">
        <f>Details!T78</f>
        <v>0</v>
      </c>
      <c r="H78" s="335">
        <f t="shared" si="8"/>
        <v>0</v>
      </c>
      <c r="I78" s="112"/>
      <c r="J78" s="13"/>
      <c r="K78" s="335"/>
      <c r="L78" s="97"/>
      <c r="M78" s="13">
        <f>Details!V78</f>
        <v>0</v>
      </c>
      <c r="N78" s="335"/>
      <c r="O78" s="336">
        <f>Details!W78</f>
        <v>5000</v>
      </c>
      <c r="P78" s="13">
        <f>Details!Y80</f>
        <v>0</v>
      </c>
      <c r="Q78" s="335">
        <f t="shared" si="7"/>
        <v>0</v>
      </c>
      <c r="R78" s="336">
        <f>Details!Z80</f>
        <v>0</v>
      </c>
    </row>
    <row r="79" spans="1:18">
      <c r="A79" s="66">
        <v>79</v>
      </c>
      <c r="B79" s="67" t="str">
        <f>Details!B79</f>
        <v>Workers' retreat organized by the church</v>
      </c>
      <c r="C79" s="13">
        <f>Details!F79</f>
        <v>40000</v>
      </c>
      <c r="D79" s="13">
        <f>Details!S79</f>
        <v>40000</v>
      </c>
      <c r="E79" s="335">
        <f>D79/$O79</f>
        <v>0.8</v>
      </c>
      <c r="F79" s="114">
        <f>Details!J79</f>
        <v>0</v>
      </c>
      <c r="G79" s="186">
        <f>Details!T79</f>
        <v>40000</v>
      </c>
      <c r="H79" s="337">
        <f t="shared" si="8"/>
        <v>0.8</v>
      </c>
      <c r="I79" s="114">
        <f>Details!M81</f>
        <v>0</v>
      </c>
      <c r="J79" s="14">
        <f>Details!W81</f>
        <v>4152000</v>
      </c>
      <c r="K79" s="337">
        <f t="shared" si="5"/>
        <v>83.04</v>
      </c>
      <c r="L79" s="98">
        <f>Details!Q81</f>
        <v>0</v>
      </c>
      <c r="M79" s="13">
        <f>Details!V79</f>
        <v>40000</v>
      </c>
      <c r="N79" s="337">
        <f>M79/$O79</f>
        <v>0.8</v>
      </c>
      <c r="O79" s="336">
        <f>Details!W79</f>
        <v>50000</v>
      </c>
      <c r="P79" s="13">
        <f>Details!Y81</f>
        <v>0</v>
      </c>
      <c r="Q79" s="335">
        <f t="shared" si="7"/>
        <v>0</v>
      </c>
      <c r="R79" s="336">
        <f>Details!Z81</f>
        <v>1841010</v>
      </c>
    </row>
    <row r="80" spans="1:18">
      <c r="A80" s="66">
        <v>80</v>
      </c>
      <c r="B80" s="67"/>
      <c r="C80" s="13"/>
      <c r="D80" s="13"/>
      <c r="E80" s="335"/>
      <c r="F80" s="112"/>
      <c r="G80" s="185"/>
      <c r="H80" s="335"/>
      <c r="I80" s="112">
        <f>Details!M82</f>
        <v>0</v>
      </c>
      <c r="J80" s="13">
        <f>Details!W82</f>
        <v>2000</v>
      </c>
      <c r="K80" s="335" t="e">
        <f t="shared" si="5"/>
        <v>#DIV/0!</v>
      </c>
      <c r="L80" s="97">
        <f>Details!Q82</f>
        <v>0</v>
      </c>
      <c r="M80" s="13">
        <f>Details!V80</f>
        <v>0</v>
      </c>
      <c r="N80" s="335" t="e">
        <f>M80/$O80</f>
        <v>#DIV/0!</v>
      </c>
      <c r="O80" s="336">
        <f>Details!W80</f>
        <v>0</v>
      </c>
      <c r="P80" s="13">
        <f>Details!Y82</f>
        <v>0</v>
      </c>
      <c r="Q80" s="335" t="e">
        <f t="shared" si="7"/>
        <v>#DIV/0!</v>
      </c>
      <c r="R80" s="336">
        <f>Details!Z82</f>
        <v>1100</v>
      </c>
    </row>
    <row r="81" spans="1:18" s="40" customFormat="1">
      <c r="A81" s="66">
        <v>81</v>
      </c>
      <c r="B81" s="69" t="str">
        <f>Details!B81</f>
        <v>D. NEW AUDITORIUM &amp; OTHER PROJECTS</v>
      </c>
      <c r="C81" s="14">
        <f>Details!F81</f>
        <v>2589155.88</v>
      </c>
      <c r="D81" s="14">
        <f>Details!S81</f>
        <v>2589155.88</v>
      </c>
      <c r="E81" s="337">
        <f>D81/$O81</f>
        <v>0.62359245664739882</v>
      </c>
      <c r="F81" s="114">
        <f>Details!J81</f>
        <v>1053841</v>
      </c>
      <c r="G81" s="186">
        <f>Details!T81</f>
        <v>3642996.88</v>
      </c>
      <c r="H81" s="337">
        <f t="shared" si="8"/>
        <v>0.87740772639691711</v>
      </c>
      <c r="I81" s="114">
        <f>Details!M83</f>
        <v>0</v>
      </c>
      <c r="J81" s="14">
        <f>Details!W83</f>
        <v>650000</v>
      </c>
      <c r="K81" s="337">
        <f t="shared" si="5"/>
        <v>0.15655105973025049</v>
      </c>
      <c r="L81" s="98">
        <f>Details!Q83</f>
        <v>0</v>
      </c>
      <c r="M81" s="14">
        <f>Details!V81</f>
        <v>3855996.88</v>
      </c>
      <c r="N81" s="337"/>
      <c r="O81" s="531">
        <f>Details!W81</f>
        <v>4152000</v>
      </c>
      <c r="P81" s="14">
        <f>Details!Y83</f>
        <v>0</v>
      </c>
      <c r="Q81" s="337">
        <f t="shared" si="7"/>
        <v>0</v>
      </c>
      <c r="R81" s="531">
        <f>Details!Z83</f>
        <v>0</v>
      </c>
    </row>
    <row r="82" spans="1:18">
      <c r="A82" s="66">
        <v>82</v>
      </c>
      <c r="B82" s="67" t="str">
        <f>Details!B82</f>
        <v>Bank charges - Access bank</v>
      </c>
      <c r="C82" s="13">
        <f>Details!F82</f>
        <v>825.88</v>
      </c>
      <c r="D82" s="13">
        <f>Details!S82</f>
        <v>825.88</v>
      </c>
      <c r="E82" s="335">
        <f>D82/$O82</f>
        <v>0.41293999999999997</v>
      </c>
      <c r="F82" s="112">
        <f>Details!J82</f>
        <v>3841</v>
      </c>
      <c r="G82" s="185">
        <f>Details!T82</f>
        <v>4666.88</v>
      </c>
      <c r="H82" s="335">
        <f t="shared" si="8"/>
        <v>2.33344</v>
      </c>
      <c r="I82" s="112">
        <f>Details!M84</f>
        <v>0</v>
      </c>
      <c r="J82" s="13">
        <f>Details!W84</f>
        <v>0</v>
      </c>
      <c r="K82" s="335">
        <f t="shared" si="5"/>
        <v>0</v>
      </c>
      <c r="L82" s="97">
        <f>Details!Q84</f>
        <v>0</v>
      </c>
      <c r="M82" s="13">
        <f>Details!V82</f>
        <v>4666.88</v>
      </c>
      <c r="N82" s="335"/>
      <c r="O82" s="336">
        <f>Details!W82</f>
        <v>2000</v>
      </c>
      <c r="P82" s="13">
        <f>Details!Y84</f>
        <v>0</v>
      </c>
      <c r="Q82" s="335">
        <f t="shared" si="7"/>
        <v>0</v>
      </c>
      <c r="R82" s="336">
        <f>Details!Z84</f>
        <v>0</v>
      </c>
    </row>
    <row r="83" spans="1:18">
      <c r="A83" s="66">
        <v>83</v>
      </c>
      <c r="B83" s="67" t="str">
        <f>Details!B83</f>
        <v>Borehole</v>
      </c>
      <c r="C83" s="13">
        <f>Details!F83</f>
        <v>541230</v>
      </c>
      <c r="D83" s="13">
        <f>Details!S83</f>
        <v>541230</v>
      </c>
      <c r="E83" s="335">
        <f>D83/$O83</f>
        <v>0.83266153846153845</v>
      </c>
      <c r="F83" s="112">
        <f>Details!J83</f>
        <v>20000</v>
      </c>
      <c r="G83" s="185">
        <f>Details!T83</f>
        <v>561230</v>
      </c>
      <c r="H83" s="335">
        <f t="shared" si="8"/>
        <v>0.86343076923076922</v>
      </c>
      <c r="I83" s="112">
        <f>Details!M85</f>
        <v>0</v>
      </c>
      <c r="J83" s="13">
        <f>Details!W85</f>
        <v>0</v>
      </c>
      <c r="K83" s="335">
        <f t="shared" si="5"/>
        <v>0</v>
      </c>
      <c r="L83" s="97">
        <f>Details!Q85</f>
        <v>0</v>
      </c>
      <c r="M83" s="13">
        <f>Details!V83</f>
        <v>561230</v>
      </c>
      <c r="N83" s="335"/>
      <c r="O83" s="336">
        <f>Details!W83</f>
        <v>650000</v>
      </c>
      <c r="P83" s="13">
        <f>Details!Y85</f>
        <v>0</v>
      </c>
      <c r="Q83" s="335">
        <f t="shared" si="7"/>
        <v>0</v>
      </c>
      <c r="R83" s="336">
        <f>Details!Z85</f>
        <v>0</v>
      </c>
    </row>
    <row r="84" spans="1:18" hidden="1">
      <c r="A84" s="66">
        <v>84</v>
      </c>
      <c r="B84" s="67" t="str">
        <f>Details!B84</f>
        <v>Development loan refund</v>
      </c>
      <c r="C84" s="13">
        <f>Details!F84</f>
        <v>0</v>
      </c>
      <c r="D84" s="13">
        <f>Details!S84</f>
        <v>0</v>
      </c>
      <c r="E84" s="335"/>
      <c r="F84" s="112">
        <f>Details!J84</f>
        <v>0</v>
      </c>
      <c r="G84" s="185">
        <f>Details!T84</f>
        <v>0</v>
      </c>
      <c r="H84" s="335" t="e">
        <f t="shared" si="8"/>
        <v>#DIV/0!</v>
      </c>
      <c r="I84" s="112">
        <f>Details!M86</f>
        <v>0</v>
      </c>
      <c r="J84" s="13">
        <f>Details!W86</f>
        <v>3500000</v>
      </c>
      <c r="K84" s="335" t="e">
        <f t="shared" si="5"/>
        <v>#DIV/0!</v>
      </c>
      <c r="L84" s="97">
        <f>Details!Q86</f>
        <v>0</v>
      </c>
      <c r="M84" s="13">
        <f>Details!V84</f>
        <v>0</v>
      </c>
      <c r="N84" s="335" t="e">
        <f>M84/$O84</f>
        <v>#DIV/0!</v>
      </c>
      <c r="O84" s="336">
        <f>Details!W84</f>
        <v>0</v>
      </c>
      <c r="P84" s="13">
        <f>Details!Y86</f>
        <v>0</v>
      </c>
      <c r="Q84" s="335" t="e">
        <f t="shared" si="7"/>
        <v>#DIV/0!</v>
      </c>
      <c r="R84" s="336">
        <f>Details!Z86</f>
        <v>1839910</v>
      </c>
    </row>
    <row r="85" spans="1:18">
      <c r="A85" s="66">
        <v>85</v>
      </c>
      <c r="B85" s="67" t="str">
        <f>Details!B85</f>
        <v>Gift-in-kind towards church auditorium</v>
      </c>
      <c r="C85" s="13">
        <f>Details!F85</f>
        <v>20800</v>
      </c>
      <c r="D85" s="13">
        <f>Details!S85</f>
        <v>20800</v>
      </c>
      <c r="E85" s="335"/>
      <c r="F85" s="112">
        <f>Details!J85</f>
        <v>0</v>
      </c>
      <c r="G85" s="185">
        <f>Details!T85</f>
        <v>20800</v>
      </c>
      <c r="H85" s="335"/>
      <c r="I85" s="112">
        <f>Details!M87</f>
        <v>0</v>
      </c>
      <c r="J85" s="13">
        <f>Details!W87</f>
        <v>0</v>
      </c>
      <c r="K85" s="335" t="e">
        <f t="shared" si="5"/>
        <v>#DIV/0!</v>
      </c>
      <c r="L85" s="97">
        <f>Details!Q87</f>
        <v>0</v>
      </c>
      <c r="M85" s="13">
        <f>Details!V85</f>
        <v>20800</v>
      </c>
      <c r="N85" s="335"/>
      <c r="O85" s="336">
        <f>Details!W85</f>
        <v>0</v>
      </c>
      <c r="P85" s="13">
        <f>Details!Y87</f>
        <v>0</v>
      </c>
      <c r="Q85" s="335" t="e">
        <f t="shared" si="7"/>
        <v>#DIV/0!</v>
      </c>
      <c r="R85" s="336">
        <f>Details!Z87</f>
        <v>0</v>
      </c>
    </row>
    <row r="86" spans="1:18" s="40" customFormat="1">
      <c r="A86" s="66">
        <v>86</v>
      </c>
      <c r="B86" s="67" t="str">
        <f>Details!B86</f>
        <v>New  auditorium - block work, columns and roof beam</v>
      </c>
      <c r="C86" s="13">
        <f>Details!F86</f>
        <v>2026300</v>
      </c>
      <c r="D86" s="13">
        <f>Details!S86</f>
        <v>2026300</v>
      </c>
      <c r="E86" s="335">
        <f>D86/$O86</f>
        <v>0.57894285714285709</v>
      </c>
      <c r="F86" s="112">
        <f>Details!J86</f>
        <v>1030000</v>
      </c>
      <c r="G86" s="185">
        <f>Details!T86</f>
        <v>3056300</v>
      </c>
      <c r="H86" s="335">
        <f t="shared" si="8"/>
        <v>0.87322857142857147</v>
      </c>
      <c r="I86" s="112"/>
      <c r="J86" s="13"/>
      <c r="K86" s="335"/>
      <c r="L86" s="97"/>
      <c r="M86" s="13">
        <f>Details!V86</f>
        <v>3269300</v>
      </c>
      <c r="N86" s="335"/>
      <c r="O86" s="336">
        <f>Details!W86</f>
        <v>3500000</v>
      </c>
      <c r="P86" s="13">
        <f>Details!Y88</f>
        <v>0</v>
      </c>
      <c r="Q86" s="335">
        <f t="shared" si="7"/>
        <v>0</v>
      </c>
      <c r="R86" s="336">
        <f>Details!Z88</f>
        <v>0</v>
      </c>
    </row>
    <row r="87" spans="1:18" hidden="1">
      <c r="A87" s="66">
        <v>87</v>
      </c>
      <c r="B87" s="67" t="str">
        <f>Details!B87</f>
        <v>Erection of new sign posts</v>
      </c>
      <c r="C87" s="13"/>
      <c r="D87" s="13"/>
      <c r="E87" s="339"/>
      <c r="F87" s="114">
        <f>Details!J87</f>
        <v>0</v>
      </c>
      <c r="G87" s="186">
        <f>Details!T87</f>
        <v>0</v>
      </c>
      <c r="H87" s="337" t="e">
        <f t="shared" si="8"/>
        <v>#DIV/0!</v>
      </c>
      <c r="I87" s="114">
        <f>Details!M89</f>
        <v>0</v>
      </c>
      <c r="J87" s="14">
        <f>Details!W89</f>
        <v>2421000</v>
      </c>
      <c r="K87" s="337" t="e">
        <f t="shared" si="5"/>
        <v>#DIV/0!</v>
      </c>
      <c r="L87" s="98">
        <f>Details!Q89</f>
        <v>0</v>
      </c>
      <c r="M87" s="13">
        <f>Details!V87</f>
        <v>0</v>
      </c>
      <c r="N87" s="337" t="e">
        <f>M87/$O87</f>
        <v>#DIV/0!</v>
      </c>
      <c r="O87" s="336">
        <f>Details!W87</f>
        <v>0</v>
      </c>
      <c r="P87" s="13">
        <f>Details!Y89</f>
        <v>0</v>
      </c>
      <c r="Q87" s="335" t="e">
        <f t="shared" si="7"/>
        <v>#DIV/0!</v>
      </c>
      <c r="R87" s="336">
        <f>Details!Z89</f>
        <v>1896466.1</v>
      </c>
    </row>
    <row r="88" spans="1:18">
      <c r="A88" s="66">
        <v>88</v>
      </c>
      <c r="B88" s="67"/>
      <c r="C88" s="13"/>
      <c r="D88" s="13"/>
      <c r="E88" s="338"/>
      <c r="F88" s="112"/>
      <c r="G88" s="185"/>
      <c r="H88" s="335"/>
      <c r="I88" s="112">
        <f>Details!M90</f>
        <v>0</v>
      </c>
      <c r="J88" s="13">
        <f>Details!W90</f>
        <v>242100</v>
      </c>
      <c r="K88" s="335" t="e">
        <f t="shared" si="5"/>
        <v>#DIV/0!</v>
      </c>
      <c r="L88" s="97">
        <f>Details!Q90</f>
        <v>0</v>
      </c>
      <c r="M88" s="13">
        <f>Details!V88</f>
        <v>0</v>
      </c>
      <c r="N88" s="335" t="e">
        <f>M88/$O88</f>
        <v>#DIV/0!</v>
      </c>
      <c r="O88" s="336">
        <f>Details!W88</f>
        <v>0</v>
      </c>
      <c r="P88" s="13">
        <f>Details!Y90</f>
        <v>0</v>
      </c>
      <c r="Q88" s="335" t="e">
        <f t="shared" si="7"/>
        <v>#DIV/0!</v>
      </c>
      <c r="R88" s="336">
        <f>Details!Z90</f>
        <v>171195.31</v>
      </c>
    </row>
    <row r="89" spans="1:18" s="40" customFormat="1">
      <c r="A89" s="66">
        <v>89</v>
      </c>
      <c r="B89" s="69" t="str">
        <f>Details!B89</f>
        <v>E. COOPERATIVE FUNDS</v>
      </c>
      <c r="C89" s="14">
        <f>Details!F89</f>
        <v>418510.1</v>
      </c>
      <c r="D89" s="14">
        <f>Details!S89</f>
        <v>418510.1</v>
      </c>
      <c r="E89" s="339">
        <f>D89/$O89</f>
        <v>0.17286662536142089</v>
      </c>
      <c r="F89" s="114">
        <f>Details!J89</f>
        <v>499965.60000000003</v>
      </c>
      <c r="G89" s="186">
        <f>Details!T89</f>
        <v>918475.7</v>
      </c>
      <c r="H89" s="337">
        <f t="shared" si="8"/>
        <v>0.37937864518793885</v>
      </c>
      <c r="I89" s="114">
        <f>Details!M91</f>
        <v>0</v>
      </c>
      <c r="J89" s="14">
        <f>Details!W91</f>
        <v>564900</v>
      </c>
      <c r="K89" s="337">
        <f t="shared" si="5"/>
        <v>0.23333333333333334</v>
      </c>
      <c r="L89" s="98">
        <f>Details!Q91</f>
        <v>0</v>
      </c>
      <c r="M89" s="14">
        <f>Details!V89</f>
        <v>918475.7</v>
      </c>
      <c r="N89" s="337">
        <f>M89/$O89</f>
        <v>0.37937864518793885</v>
      </c>
      <c r="O89" s="531">
        <f>Details!W89</f>
        <v>2421000</v>
      </c>
      <c r="P89" s="14">
        <f>SUM(M15:M18)</f>
        <v>4756091</v>
      </c>
      <c r="Q89" s="337"/>
      <c r="R89" s="531">
        <f>Details!Z91</f>
        <v>399454.79000000004</v>
      </c>
    </row>
    <row r="90" spans="1:18" s="407" customFormat="1" ht="34.5">
      <c r="A90" s="126">
        <v>90</v>
      </c>
      <c r="B90" s="702" t="str">
        <f>Details!B90</f>
        <v>Association contributions - 3% of tithes &amp; SS, thanksgiving and general offerings</v>
      </c>
      <c r="C90" s="65">
        <f>Details!F90</f>
        <v>41850.959999999999</v>
      </c>
      <c r="D90" s="65">
        <f>Details!S90</f>
        <v>41850.959999999999</v>
      </c>
      <c r="E90" s="338">
        <f>D90/$O90</f>
        <v>0.17286641883519208</v>
      </c>
      <c r="F90" s="113">
        <f>Details!J90</f>
        <v>49996.56</v>
      </c>
      <c r="G90" s="187">
        <f>Details!T90</f>
        <v>91847.51999999999</v>
      </c>
      <c r="H90" s="338">
        <f t="shared" si="8"/>
        <v>0.37937843866171</v>
      </c>
      <c r="I90" s="113">
        <f>Details!M92</f>
        <v>0</v>
      </c>
      <c r="J90" s="65">
        <f>Details!W92</f>
        <v>1614000</v>
      </c>
      <c r="K90" s="338">
        <f t="shared" si="5"/>
        <v>6.666666666666667</v>
      </c>
      <c r="L90" s="111">
        <f>Details!Q92</f>
        <v>0</v>
      </c>
      <c r="M90" s="65">
        <f>Details!V90</f>
        <v>91847.51999999999</v>
      </c>
      <c r="N90" s="338">
        <f>M90/$O90</f>
        <v>0.37937843866171</v>
      </c>
      <c r="O90" s="406">
        <f>Details!W90</f>
        <v>242100</v>
      </c>
      <c r="P90" s="65">
        <f>0.03*P89</f>
        <v>142682.72999999998</v>
      </c>
      <c r="Q90" s="720">
        <f>P90-M88</f>
        <v>142682.72999999998</v>
      </c>
      <c r="R90" s="406">
        <f>Details!Z92</f>
        <v>1325816</v>
      </c>
    </row>
    <row r="91" spans="1:18" s="196" customFormat="1" ht="34.5">
      <c r="A91" s="126">
        <v>91</v>
      </c>
      <c r="B91" s="702" t="str">
        <f>Details!B91</f>
        <v>Conference contributions - 7% of tithes &amp;  SS, thanksgiving and general offerings</v>
      </c>
      <c r="C91" s="65">
        <f>Details!F91</f>
        <v>97652.239999999991</v>
      </c>
      <c r="D91" s="65">
        <f>Details!S91</f>
        <v>97652.239999999991</v>
      </c>
      <c r="E91" s="338">
        <f>D91/$O91</f>
        <v>0.17286641883519205</v>
      </c>
      <c r="F91" s="113">
        <f>Details!J91</f>
        <v>116658.64</v>
      </c>
      <c r="G91" s="187">
        <f>Details!T91</f>
        <v>214310.88</v>
      </c>
      <c r="H91" s="338">
        <f t="shared" si="8"/>
        <v>0.37937843866171006</v>
      </c>
      <c r="I91" s="113">
        <f>Details!M93</f>
        <v>0</v>
      </c>
      <c r="J91" s="65">
        <f>Details!W93</f>
        <v>0</v>
      </c>
      <c r="K91" s="338">
        <f t="shared" si="5"/>
        <v>0</v>
      </c>
      <c r="L91" s="111">
        <f>Details!Q93</f>
        <v>0</v>
      </c>
      <c r="M91" s="65">
        <f>Details!V91</f>
        <v>214310.88</v>
      </c>
      <c r="N91" s="338"/>
      <c r="O91" s="406">
        <f>Details!W91</f>
        <v>564900</v>
      </c>
      <c r="P91" s="65">
        <f>0.07*P89</f>
        <v>332926.37000000005</v>
      </c>
      <c r="Q91" s="720">
        <f>P91-M89</f>
        <v>-585549.32999999984</v>
      </c>
      <c r="R91" s="406">
        <f>Details!Z93</f>
        <v>0</v>
      </c>
    </row>
    <row r="92" spans="1:18" s="407" customFormat="1" ht="34.5">
      <c r="A92" s="126">
        <v>92</v>
      </c>
      <c r="B92" s="702" t="str">
        <f>Details!B92</f>
        <v>Convention contributions - 20% of tithes &amp; SS, thanksgiving and general  offerings</v>
      </c>
      <c r="C92" s="65">
        <f>Details!F92</f>
        <v>279006.90000000002</v>
      </c>
      <c r="D92" s="65">
        <f>Details!S92</f>
        <v>279006.90000000002</v>
      </c>
      <c r="E92" s="338">
        <f>D92/$O92</f>
        <v>0.17286672862453534</v>
      </c>
      <c r="F92" s="113">
        <f>Details!J92</f>
        <v>333310.40000000002</v>
      </c>
      <c r="G92" s="187">
        <f>Details!T92</f>
        <v>612317.30000000005</v>
      </c>
      <c r="H92" s="338">
        <f t="shared" si="8"/>
        <v>0.37937874845105329</v>
      </c>
      <c r="I92" s="721">
        <f>Details!M94</f>
        <v>0</v>
      </c>
      <c r="J92" s="106">
        <f>Details!W94</f>
        <v>480000</v>
      </c>
      <c r="K92" s="339">
        <f t="shared" si="5"/>
        <v>0.29739776951672864</v>
      </c>
      <c r="L92" s="722">
        <f>Details!Q94</f>
        <v>0</v>
      </c>
      <c r="M92" s="65">
        <f>Details!V92</f>
        <v>612317.30000000005</v>
      </c>
      <c r="N92" s="339"/>
      <c r="O92" s="406">
        <f>Details!W92</f>
        <v>1614000</v>
      </c>
      <c r="P92" s="65">
        <f>0.2*P89</f>
        <v>951218.20000000007</v>
      </c>
      <c r="Q92" s="720">
        <f>P92-M90</f>
        <v>859370.68</v>
      </c>
      <c r="R92" s="406">
        <f>Details!Z94</f>
        <v>0</v>
      </c>
    </row>
    <row r="93" spans="1:18">
      <c r="A93" s="66">
        <v>93</v>
      </c>
      <c r="B93" s="67"/>
      <c r="C93" s="13"/>
      <c r="D93" s="13"/>
      <c r="E93" s="335"/>
      <c r="F93" s="112"/>
      <c r="G93" s="185"/>
      <c r="H93" s="335"/>
      <c r="I93" s="112">
        <f>Details!M95</f>
        <v>0</v>
      </c>
      <c r="J93" s="13">
        <f>Details!W95</f>
        <v>0</v>
      </c>
      <c r="K93" s="335" t="e">
        <f t="shared" si="5"/>
        <v>#DIV/0!</v>
      </c>
      <c r="L93" s="97">
        <f>Details!Q95</f>
        <v>0</v>
      </c>
      <c r="M93" s="13">
        <f>Details!V93</f>
        <v>0</v>
      </c>
      <c r="N93" s="335"/>
      <c r="O93" s="336">
        <f>Details!W93</f>
        <v>0</v>
      </c>
      <c r="P93" s="13">
        <f>Details!Y95</f>
        <v>0</v>
      </c>
      <c r="Q93" s="544">
        <f>SUM(Q90:Q92)</f>
        <v>416504.08000000019</v>
      </c>
      <c r="R93" s="336">
        <f>Details!Z95</f>
        <v>0</v>
      </c>
    </row>
    <row r="94" spans="1:18" s="40" customFormat="1">
      <c r="A94" s="66">
        <v>94</v>
      </c>
      <c r="B94" s="69" t="str">
        <f>Details!B94</f>
        <v>F. DESIGNATED SAVINGS</v>
      </c>
      <c r="C94" s="14">
        <f>Details!F94</f>
        <v>0</v>
      </c>
      <c r="D94" s="14">
        <f>Details!S94</f>
        <v>0</v>
      </c>
      <c r="E94" s="337"/>
      <c r="F94" s="114">
        <f>Details!J94</f>
        <v>0</v>
      </c>
      <c r="G94" s="186">
        <f>Details!T94</f>
        <v>0</v>
      </c>
      <c r="H94" s="337">
        <f t="shared" si="8"/>
        <v>0</v>
      </c>
      <c r="I94" s="114">
        <f>Details!M96</f>
        <v>0</v>
      </c>
      <c r="J94" s="14">
        <f>Details!W96</f>
        <v>0</v>
      </c>
      <c r="K94" s="337">
        <f t="shared" si="5"/>
        <v>0</v>
      </c>
      <c r="L94" s="98">
        <f>Details!Q96</f>
        <v>0</v>
      </c>
      <c r="M94" s="14">
        <f>Details!V94</f>
        <v>0</v>
      </c>
      <c r="N94" s="337"/>
      <c r="O94" s="531">
        <f>Details!W94</f>
        <v>480000</v>
      </c>
      <c r="P94" s="14">
        <f>Details!Y96</f>
        <v>0</v>
      </c>
      <c r="Q94" s="713"/>
      <c r="R94" s="531">
        <f>Details!Z96</f>
        <v>0</v>
      </c>
    </row>
    <row r="95" spans="1:18" s="196" customFormat="1" hidden="1">
      <c r="A95" s="66">
        <v>95</v>
      </c>
      <c r="B95" s="67" t="str">
        <f>Details!B95</f>
        <v>Pastorium (rent, development of land etc.)</v>
      </c>
      <c r="C95" s="13">
        <f>Details!F95</f>
        <v>0</v>
      </c>
      <c r="D95" s="13">
        <f>Details!S95</f>
        <v>0</v>
      </c>
      <c r="E95" s="335" t="e">
        <f>D95/$O95</f>
        <v>#DIV/0!</v>
      </c>
      <c r="F95" s="112">
        <f>Details!J95</f>
        <v>0</v>
      </c>
      <c r="G95" s="185">
        <f>Details!T95</f>
        <v>0</v>
      </c>
      <c r="H95" s="335" t="e">
        <f t="shared" si="8"/>
        <v>#DIV/0!</v>
      </c>
      <c r="I95" s="112">
        <f>Details!M97</f>
        <v>0</v>
      </c>
      <c r="J95" s="13">
        <f>Details!W97</f>
        <v>480000</v>
      </c>
      <c r="K95" s="335" t="e">
        <f t="shared" si="5"/>
        <v>#DIV/0!</v>
      </c>
      <c r="L95" s="97">
        <f>Details!Q97</f>
        <v>0</v>
      </c>
      <c r="M95" s="13">
        <f>Details!V95</f>
        <v>0</v>
      </c>
      <c r="N95" s="335"/>
      <c r="O95" s="336">
        <f>Details!W95</f>
        <v>0</v>
      </c>
      <c r="P95" s="13">
        <f>Details!Y97</f>
        <v>0</v>
      </c>
      <c r="Q95" s="335" t="e">
        <f t="shared" si="7"/>
        <v>#DIV/0!</v>
      </c>
      <c r="R95" s="336">
        <f>Details!Z97</f>
        <v>0</v>
      </c>
    </row>
    <row r="96" spans="1:18">
      <c r="A96" s="66">
        <v>96</v>
      </c>
      <c r="B96" s="67" t="str">
        <f>Details!B96</f>
        <v>New auditorium</v>
      </c>
      <c r="C96" s="13">
        <f>Details!F96</f>
        <v>0</v>
      </c>
      <c r="D96" s="13">
        <f>Details!S96</f>
        <v>0</v>
      </c>
      <c r="E96" s="335"/>
      <c r="F96" s="114">
        <f>Details!J96</f>
        <v>0</v>
      </c>
      <c r="G96" s="186">
        <f>Details!T96</f>
        <v>0</v>
      </c>
      <c r="H96" s="337"/>
      <c r="I96" s="114">
        <f>Details!M98</f>
        <v>0</v>
      </c>
      <c r="J96" s="14">
        <f>Details!W98</f>
        <v>14034012.4</v>
      </c>
      <c r="K96" s="337" t="e">
        <f t="shared" si="5"/>
        <v>#DIV/0!</v>
      </c>
      <c r="L96" s="98">
        <f>Details!Q98</f>
        <v>0</v>
      </c>
      <c r="M96" s="13">
        <f>Details!V96</f>
        <v>0</v>
      </c>
      <c r="N96" s="337" t="e">
        <f>M96/$O96</f>
        <v>#DIV/0!</v>
      </c>
      <c r="O96" s="336">
        <f>Details!W96</f>
        <v>0</v>
      </c>
      <c r="P96" s="13">
        <f>Details!Y98</f>
        <v>0</v>
      </c>
      <c r="Q96" s="335" t="e">
        <f t="shared" si="7"/>
        <v>#DIV/0!</v>
      </c>
      <c r="R96" s="336">
        <f>Details!Z98</f>
        <v>8507448.3599999994</v>
      </c>
    </row>
    <row r="97" spans="1:18" ht="20.25" customHeight="1">
      <c r="A97" s="66">
        <v>97</v>
      </c>
      <c r="B97" s="67" t="str">
        <f>Details!B97</f>
        <v>Pastor's retirement 2025</v>
      </c>
      <c r="C97" s="13">
        <f>Details!F97</f>
        <v>0</v>
      </c>
      <c r="D97" s="13">
        <f>Details!S97</f>
        <v>0</v>
      </c>
      <c r="E97" s="335">
        <f>D97/$O97</f>
        <v>0</v>
      </c>
      <c r="F97" s="113">
        <f>Details!J97</f>
        <v>0</v>
      </c>
      <c r="G97" s="187">
        <f>Details!T97</f>
        <v>0</v>
      </c>
      <c r="H97" s="338">
        <f t="shared" si="8"/>
        <v>0</v>
      </c>
      <c r="I97" s="113">
        <f>Details!M99</f>
        <v>0</v>
      </c>
      <c r="J97" s="65">
        <f>Details!W99</f>
        <v>0</v>
      </c>
      <c r="K97" s="338">
        <f t="shared" si="5"/>
        <v>0</v>
      </c>
      <c r="L97" s="111">
        <f>Details!Q99</f>
        <v>0</v>
      </c>
      <c r="M97" s="13">
        <f>Details!V97</f>
        <v>0</v>
      </c>
      <c r="N97" s="335"/>
      <c r="O97" s="336">
        <f>Details!W97</f>
        <v>480000</v>
      </c>
      <c r="P97" s="13">
        <f>Details!Y99</f>
        <v>0</v>
      </c>
      <c r="Q97" s="335">
        <f t="shared" si="7"/>
        <v>0</v>
      </c>
      <c r="R97" s="336">
        <f>Details!Z99</f>
        <v>956723.78999999992</v>
      </c>
    </row>
    <row r="98" spans="1:18" s="40" customFormat="1">
      <c r="A98" s="66">
        <v>98</v>
      </c>
      <c r="B98" s="69" t="str">
        <f>Details!B98</f>
        <v>Total Expenditure</v>
      </c>
      <c r="C98" s="14">
        <f>Details!F98</f>
        <v>4448846.8592499997</v>
      </c>
      <c r="D98" s="14">
        <f>Details!S98</f>
        <v>4448846.8592499997</v>
      </c>
      <c r="E98" s="337">
        <f>D98/$O98</f>
        <v>0.31700462650652922</v>
      </c>
      <c r="F98" s="114">
        <f>Details!J98</f>
        <v>3253685.97</v>
      </c>
      <c r="G98" s="186">
        <f>Details!T98</f>
        <v>7702532.8292500004</v>
      </c>
      <c r="H98" s="337">
        <f t="shared" si="8"/>
        <v>0.54884751485968475</v>
      </c>
      <c r="I98" s="114">
        <f>Details!M100</f>
        <v>0</v>
      </c>
      <c r="J98" s="14">
        <f>Details!W100</f>
        <v>0</v>
      </c>
      <c r="K98" s="337">
        <f t="shared" si="5"/>
        <v>0</v>
      </c>
      <c r="L98" s="98">
        <f>Details!Q100</f>
        <v>0</v>
      </c>
      <c r="M98" s="14">
        <f>Details!V98</f>
        <v>7915532.8292500004</v>
      </c>
      <c r="N98" s="337"/>
      <c r="O98" s="531">
        <f>Details!W98</f>
        <v>14034012.4</v>
      </c>
      <c r="P98" s="14">
        <f>Details!Y100</f>
        <v>0</v>
      </c>
      <c r="Q98" s="337">
        <f t="shared" si="7"/>
        <v>0</v>
      </c>
      <c r="R98" s="531">
        <f>Details!Z100</f>
        <v>233476.82</v>
      </c>
    </row>
    <row r="99" spans="1:18">
      <c r="A99" s="66">
        <v>99</v>
      </c>
      <c r="B99" s="67" t="str">
        <f>Details!B99</f>
        <v>Balances in the church's accounts plus imprest account</v>
      </c>
      <c r="C99" s="13">
        <f>Details!F99</f>
        <v>350723.75</v>
      </c>
      <c r="D99" s="13">
        <f>Details!S99</f>
        <v>350723.75</v>
      </c>
      <c r="E99" s="335"/>
      <c r="F99" s="112">
        <f>Details!J99</f>
        <v>457630.32</v>
      </c>
      <c r="G99" s="185">
        <f>Details!T99</f>
        <v>457630.32</v>
      </c>
      <c r="H99" s="335"/>
      <c r="I99" s="112">
        <f>Details!M101</f>
        <v>0</v>
      </c>
      <c r="J99" s="13">
        <f>Details!W101</f>
        <v>0</v>
      </c>
      <c r="K99" s="335" t="e">
        <f t="shared" si="5"/>
        <v>#DIV/0!</v>
      </c>
      <c r="L99" s="97">
        <f>Details!Q101</f>
        <v>0</v>
      </c>
      <c r="M99" s="13">
        <f>Details!V99</f>
        <v>0</v>
      </c>
      <c r="N99" s="335"/>
      <c r="O99" s="336">
        <f>Details!W99</f>
        <v>0</v>
      </c>
      <c r="P99" s="13">
        <f>Details!Y101</f>
        <v>0</v>
      </c>
      <c r="Q99" s="335" t="e">
        <f t="shared" si="7"/>
        <v>#DIV/0!</v>
      </c>
      <c r="R99" s="336">
        <f>Details!Z101</f>
        <v>6500</v>
      </c>
    </row>
    <row r="100" spans="1:18">
      <c r="A100" s="66">
        <v>100</v>
      </c>
      <c r="B100" s="67" t="str">
        <f>Details!B100</f>
        <v>First Bank of Nigeria</v>
      </c>
      <c r="C100" s="13">
        <f>Details!F100</f>
        <v>172876.9</v>
      </c>
      <c r="D100" s="13">
        <f>Details!S100</f>
        <v>172876.9</v>
      </c>
      <c r="E100" s="335"/>
      <c r="F100" s="112">
        <f>Details!J100</f>
        <v>87926.99</v>
      </c>
      <c r="G100" s="185">
        <f>Details!T100</f>
        <v>87926.99</v>
      </c>
      <c r="H100" s="335"/>
      <c r="I100" s="112">
        <f>Details!M102</f>
        <v>0</v>
      </c>
      <c r="J100" s="13">
        <f>Details!W102</f>
        <v>0</v>
      </c>
      <c r="K100" s="335" t="e">
        <f t="shared" si="5"/>
        <v>#DIV/0!</v>
      </c>
      <c r="L100" s="97">
        <f>Details!Q102</f>
        <v>0</v>
      </c>
      <c r="M100" s="13">
        <f>Details!V100</f>
        <v>0</v>
      </c>
      <c r="N100" s="335"/>
      <c r="O100" s="336">
        <f>Details!W100</f>
        <v>0</v>
      </c>
      <c r="P100" s="13">
        <f>Details!Y102</f>
        <v>0</v>
      </c>
      <c r="Q100" s="335" t="e">
        <f t="shared" si="7"/>
        <v>#DIV/0!</v>
      </c>
      <c r="R100" s="336">
        <f>Details!Z102</f>
        <v>0</v>
      </c>
    </row>
    <row r="101" spans="1:18">
      <c r="A101" s="66">
        <v>101</v>
      </c>
      <c r="B101" s="67" t="str">
        <f>Details!B101</f>
        <v>Add Cash/Cheque in-transit - FBN</v>
      </c>
      <c r="C101" s="13">
        <f>Details!F101</f>
        <v>0</v>
      </c>
      <c r="D101" s="13">
        <f>Details!S101</f>
        <v>0</v>
      </c>
      <c r="E101" s="335"/>
      <c r="F101" s="112">
        <f>Details!J101</f>
        <v>0</v>
      </c>
      <c r="G101" s="185">
        <f>Details!T101</f>
        <v>0</v>
      </c>
      <c r="H101" s="335"/>
      <c r="I101" s="112">
        <f>Details!M103</f>
        <v>0</v>
      </c>
      <c r="J101" s="13">
        <f>Details!W103</f>
        <v>0</v>
      </c>
      <c r="K101" s="335" t="e">
        <f t="shared" si="5"/>
        <v>#DIV/0!</v>
      </c>
      <c r="L101" s="97">
        <f>Details!Q103</f>
        <v>0</v>
      </c>
      <c r="M101" s="13">
        <f>Details!V101</f>
        <v>0</v>
      </c>
      <c r="N101" s="335"/>
      <c r="O101" s="336">
        <f>Details!W101</f>
        <v>0</v>
      </c>
      <c r="P101" s="13">
        <f>Details!Y103</f>
        <v>0</v>
      </c>
      <c r="Q101" s="335" t="e">
        <f t="shared" si="7"/>
        <v>#DIV/0!</v>
      </c>
      <c r="R101" s="336">
        <f>Details!Z103</f>
        <v>19152.900000000001</v>
      </c>
    </row>
    <row r="102" spans="1:18">
      <c r="A102" s="66">
        <v>102</v>
      </c>
      <c r="B102" s="67" t="str">
        <f>Details!B102</f>
        <v>Less Unpresented cheques - FBN</v>
      </c>
      <c r="C102" s="13">
        <f>Details!F102</f>
        <v>-67627.290000000008</v>
      </c>
      <c r="D102" s="13">
        <f>Details!S102</f>
        <v>-67627.290000000008</v>
      </c>
      <c r="E102" s="335"/>
      <c r="F102" s="112">
        <f>Details!J102</f>
        <v>-2500</v>
      </c>
      <c r="G102" s="185">
        <f>Details!T102</f>
        <v>0</v>
      </c>
      <c r="H102" s="335"/>
      <c r="I102" s="112">
        <f>Details!M104</f>
        <v>0</v>
      </c>
      <c r="J102" s="13">
        <f>Details!W104</f>
        <v>0</v>
      </c>
      <c r="K102" s="335" t="e">
        <f t="shared" si="5"/>
        <v>#DIV/0!</v>
      </c>
      <c r="L102" s="97">
        <f>Details!Q104</f>
        <v>0</v>
      </c>
      <c r="M102" s="13">
        <f>Details!V102</f>
        <v>0</v>
      </c>
      <c r="N102" s="335"/>
      <c r="O102" s="336">
        <f>Details!W102</f>
        <v>0</v>
      </c>
      <c r="P102" s="13">
        <f>Details!Y104</f>
        <v>0</v>
      </c>
      <c r="Q102" s="335" t="e">
        <f t="shared" si="7"/>
        <v>#DIV/0!</v>
      </c>
      <c r="R102" s="336">
        <f>Details!Z104</f>
        <v>694094.07</v>
      </c>
    </row>
    <row r="103" spans="1:18">
      <c r="A103" s="66">
        <v>103</v>
      </c>
      <c r="B103" s="67" t="str">
        <f>Details!B103</f>
        <v>Randalpha MFB</v>
      </c>
      <c r="C103" s="13">
        <f>Details!F103</f>
        <v>58905.95</v>
      </c>
      <c r="D103" s="13">
        <f>Details!S103</f>
        <v>58905.95</v>
      </c>
      <c r="E103" s="335"/>
      <c r="F103" s="112">
        <f>Details!J103</f>
        <v>49476.14</v>
      </c>
      <c r="G103" s="185">
        <f>Details!T103</f>
        <v>49476.14</v>
      </c>
      <c r="H103" s="335"/>
      <c r="I103" s="112">
        <f>Details!M105</f>
        <v>0</v>
      </c>
      <c r="J103" s="13">
        <f>Details!W105</f>
        <v>0</v>
      </c>
      <c r="K103" s="335" t="e">
        <f t="shared" si="5"/>
        <v>#DIV/0!</v>
      </c>
      <c r="L103" s="97">
        <f>Details!Q105</f>
        <v>0</v>
      </c>
      <c r="M103" s="13">
        <f>Details!V103</f>
        <v>0</v>
      </c>
      <c r="N103" s="335"/>
      <c r="O103" s="336">
        <f>Details!W103</f>
        <v>0</v>
      </c>
      <c r="P103" s="13">
        <f>Details!Y105</f>
        <v>0</v>
      </c>
      <c r="Q103" s="335" t="e">
        <f t="shared" si="7"/>
        <v>#DIV/0!</v>
      </c>
      <c r="R103" s="336">
        <f>Details!Z105</f>
        <v>0</v>
      </c>
    </row>
    <row r="104" spans="1:18">
      <c r="A104" s="66">
        <v>104</v>
      </c>
      <c r="B104" s="67" t="str">
        <f>Details!B104</f>
        <v>Access Bank</v>
      </c>
      <c r="C104" s="13">
        <f>Details!F104</f>
        <v>175568.19</v>
      </c>
      <c r="D104" s="13">
        <f>Details!S104</f>
        <v>175568.19</v>
      </c>
      <c r="E104" s="335"/>
      <c r="F104" s="112">
        <f>Details!J104</f>
        <v>322727.19</v>
      </c>
      <c r="G104" s="185">
        <f>Details!T104</f>
        <v>322727.19</v>
      </c>
      <c r="H104" s="335"/>
      <c r="I104" s="112">
        <f>Details!M106</f>
        <v>0</v>
      </c>
      <c r="J104" s="13">
        <f>Details!W106</f>
        <v>0</v>
      </c>
      <c r="K104" s="335" t="e">
        <f t="shared" si="5"/>
        <v>#DIV/0!</v>
      </c>
      <c r="L104" s="97">
        <f>Details!Q106</f>
        <v>0</v>
      </c>
      <c r="M104" s="13">
        <f>Details!V104</f>
        <v>0</v>
      </c>
      <c r="N104" s="335"/>
      <c r="O104" s="336">
        <f>Details!W104</f>
        <v>0</v>
      </c>
      <c r="P104" s="13">
        <f>Details!Y106</f>
        <v>0</v>
      </c>
      <c r="Q104" s="335" t="e">
        <f t="shared" si="7"/>
        <v>#DIV/0!</v>
      </c>
      <c r="R104" s="336">
        <f>Details!Z106</f>
        <v>0</v>
      </c>
    </row>
    <row r="105" spans="1:18">
      <c r="A105" s="66">
        <v>105</v>
      </c>
      <c r="B105" s="67" t="str">
        <f>Details!B105</f>
        <v>Add Cash/Cheque in-transit - Access Bank</v>
      </c>
      <c r="C105" s="13">
        <f>Details!F105</f>
        <v>10000</v>
      </c>
      <c r="D105" s="13">
        <f>Details!S105</f>
        <v>10000</v>
      </c>
      <c r="E105" s="335"/>
      <c r="F105" s="112">
        <f>Details!J105</f>
        <v>0</v>
      </c>
      <c r="G105" s="185">
        <f>Details!T105</f>
        <v>0</v>
      </c>
      <c r="H105" s="335"/>
      <c r="I105" s="112">
        <f>Details!M107</f>
        <v>0</v>
      </c>
      <c r="J105" s="13">
        <f>Details!W107</f>
        <v>0</v>
      </c>
      <c r="K105" s="335" t="e">
        <f t="shared" si="5"/>
        <v>#DIV/0!</v>
      </c>
      <c r="L105" s="97">
        <f>Details!Q107</f>
        <v>0</v>
      </c>
      <c r="M105" s="13">
        <f>Details!V105</f>
        <v>0</v>
      </c>
      <c r="N105" s="335"/>
      <c r="O105" s="336">
        <f>Details!W105</f>
        <v>0</v>
      </c>
      <c r="P105" s="13">
        <f>Details!Y107</f>
        <v>0</v>
      </c>
      <c r="Q105" s="335" t="e">
        <f t="shared" si="7"/>
        <v>#DIV/0!</v>
      </c>
      <c r="R105" s="336">
        <f>Details!Z107</f>
        <v>3500</v>
      </c>
    </row>
    <row r="106" spans="1:18">
      <c r="A106" s="66">
        <v>106</v>
      </c>
      <c r="B106" s="67" t="str">
        <f>Details!B106</f>
        <v>Less Uncleared cheque - Access Bank</v>
      </c>
      <c r="C106" s="13">
        <f>Details!F106</f>
        <v>0</v>
      </c>
      <c r="D106" s="13">
        <f>Details!S106</f>
        <v>0</v>
      </c>
      <c r="E106" s="339"/>
      <c r="F106" s="112">
        <f>Details!J106</f>
        <v>0</v>
      </c>
      <c r="G106" s="185">
        <f>Details!T106</f>
        <v>0</v>
      </c>
      <c r="H106" s="335"/>
      <c r="I106" s="112"/>
      <c r="J106" s="13"/>
      <c r="K106" s="335"/>
      <c r="L106" s="97"/>
      <c r="M106" s="13">
        <f>Details!V106</f>
        <v>0</v>
      </c>
      <c r="N106" s="335"/>
      <c r="O106" s="336">
        <f>Details!W106</f>
        <v>0</v>
      </c>
      <c r="P106" s="13">
        <f>Details!Y108</f>
        <v>0</v>
      </c>
      <c r="Q106" s="335" t="e">
        <f t="shared" si="7"/>
        <v>#DIV/0!</v>
      </c>
      <c r="R106" s="336">
        <f>Details!Z108</f>
        <v>0</v>
      </c>
    </row>
    <row r="107" spans="1:18">
      <c r="A107" s="66">
        <v>107</v>
      </c>
      <c r="B107" s="67" t="str">
        <f>Details!B107</f>
        <v>Imprest account (cash on hand)</v>
      </c>
      <c r="C107" s="13">
        <f>Details!F107</f>
        <v>1000</v>
      </c>
      <c r="D107" s="13">
        <f>Details!S107</f>
        <v>1000</v>
      </c>
      <c r="E107" s="337"/>
      <c r="F107" s="114">
        <f>Details!J107</f>
        <v>0</v>
      </c>
      <c r="G107" s="186">
        <f>Details!T107</f>
        <v>0</v>
      </c>
      <c r="H107" s="337"/>
      <c r="I107" s="114">
        <f>Details!M109</f>
        <v>0</v>
      </c>
      <c r="J107" s="14">
        <f>Details!W109</f>
        <v>12490573.450000001</v>
      </c>
      <c r="K107" s="337" t="e">
        <f t="shared" si="5"/>
        <v>#DIV/0!</v>
      </c>
      <c r="L107" s="98">
        <f>Details!Q109</f>
        <v>0</v>
      </c>
      <c r="M107" s="13">
        <f>Details!V107</f>
        <v>0</v>
      </c>
      <c r="N107" s="337" t="e">
        <f>M107/$O107</f>
        <v>#DIV/0!</v>
      </c>
      <c r="O107" s="336">
        <f>Details!W107</f>
        <v>0</v>
      </c>
      <c r="P107" s="13">
        <f>Details!Y109</f>
        <v>0</v>
      </c>
      <c r="Q107" s="335" t="e">
        <f t="shared" si="7"/>
        <v>#DIV/0!</v>
      </c>
      <c r="R107" s="336">
        <f>Details!Z109</f>
        <v>9570973.5199999996</v>
      </c>
    </row>
    <row r="108" spans="1:18" s="40" customFormat="1">
      <c r="A108" s="66">
        <v>108</v>
      </c>
      <c r="B108" s="69" t="str">
        <f>Details!B108</f>
        <v>CONSOLIDATED INCOME &amp; EXPENDITURE REPORT</v>
      </c>
      <c r="C108" s="14"/>
      <c r="D108" s="14"/>
      <c r="E108" s="337"/>
      <c r="F108" s="114">
        <f>Details!J108</f>
        <v>0</v>
      </c>
      <c r="G108" s="186">
        <f>Details!T108</f>
        <v>0</v>
      </c>
      <c r="H108" s="337"/>
      <c r="I108" s="114">
        <f>Details!M110</f>
        <v>0</v>
      </c>
      <c r="J108" s="14">
        <f>Details!W110</f>
        <v>3502000</v>
      </c>
      <c r="K108" s="337" t="e">
        <f t="shared" si="5"/>
        <v>#DIV/0!</v>
      </c>
      <c r="L108" s="98">
        <f>Details!Q110</f>
        <v>0</v>
      </c>
      <c r="M108" s="14">
        <f>Details!V108</f>
        <v>0</v>
      </c>
      <c r="N108" s="337" t="e">
        <f>M108/$O108</f>
        <v>#DIV/0!</v>
      </c>
      <c r="O108" s="531">
        <f>Details!W108</f>
        <v>0</v>
      </c>
      <c r="P108" s="14">
        <f>Details!Y110</f>
        <v>0</v>
      </c>
      <c r="Q108" s="337" t="e">
        <f t="shared" si="7"/>
        <v>#DIV/0!</v>
      </c>
      <c r="R108" s="531">
        <f>Details!Z110</f>
        <v>1841010</v>
      </c>
    </row>
    <row r="109" spans="1:18">
      <c r="A109" s="66">
        <v>109</v>
      </c>
      <c r="B109" s="69" t="str">
        <f>Details!B109</f>
        <v>Income from all sources, including B/F from 2020</v>
      </c>
      <c r="C109" s="14">
        <f>Details!F109</f>
        <v>4799570.6100000003</v>
      </c>
      <c r="D109" s="14">
        <f>Details!S109</f>
        <v>4799570.6100000003</v>
      </c>
      <c r="E109" s="339">
        <f>D109/$O109</f>
        <v>0.38425542503815147</v>
      </c>
      <c r="F109" s="114">
        <f>Details!J109</f>
        <v>3711316.29</v>
      </c>
      <c r="G109" s="186">
        <f>Details!T109</f>
        <v>8160163.1500000004</v>
      </c>
      <c r="H109" s="337">
        <f t="shared" si="8"/>
        <v>0.65330572552695731</v>
      </c>
      <c r="I109" s="114">
        <f>Details!M111</f>
        <v>0</v>
      </c>
      <c r="J109" s="14">
        <f>Details!W111</f>
        <v>14034012.4</v>
      </c>
      <c r="K109" s="337">
        <f t="shared" si="5"/>
        <v>1.1235683018220433</v>
      </c>
      <c r="L109" s="98">
        <f>Details!Q111</f>
        <v>0</v>
      </c>
      <c r="M109" s="13">
        <f>Details!V109</f>
        <v>8160163.1500000004</v>
      </c>
      <c r="N109" s="337">
        <f>M109/$O109</f>
        <v>0.65330572552695731</v>
      </c>
      <c r="O109" s="336">
        <f>Details!W109</f>
        <v>12490573.450000001</v>
      </c>
      <c r="P109" s="13">
        <f>Details!Y111</f>
        <v>0</v>
      </c>
      <c r="Q109" s="335">
        <f t="shared" si="7"/>
        <v>0</v>
      </c>
      <c r="R109" s="336">
        <f>Details!Z111</f>
        <v>6210438.3600000003</v>
      </c>
    </row>
    <row r="110" spans="1:18">
      <c r="A110" s="66">
        <v>110</v>
      </c>
      <c r="B110" s="69" t="str">
        <f>Details!B110</f>
        <v>Total expenditure on new auditorium</v>
      </c>
      <c r="C110" s="14">
        <f>Details!F110</f>
        <v>2047925.88</v>
      </c>
      <c r="D110" s="14">
        <f>Details!S110</f>
        <v>2047925.88</v>
      </c>
      <c r="E110" s="339">
        <f>D110/$O110</f>
        <v>0.58478751570531118</v>
      </c>
      <c r="F110" s="114">
        <f>Details!J110</f>
        <v>1033841</v>
      </c>
      <c r="G110" s="186">
        <f>Details!T110</f>
        <v>3081766.88</v>
      </c>
      <c r="H110" s="337">
        <f t="shared" si="8"/>
        <v>0.88000196459166191</v>
      </c>
      <c r="I110" s="114">
        <f>Details!M112</f>
        <v>0</v>
      </c>
      <c r="J110" s="14">
        <f>Details!W112</f>
        <v>14034012.4</v>
      </c>
      <c r="K110" s="337">
        <f t="shared" si="5"/>
        <v>4.0074278697886925</v>
      </c>
      <c r="L110" s="98">
        <f>Details!Q112</f>
        <v>0</v>
      </c>
      <c r="M110" s="13">
        <f>Details!V110</f>
        <v>3294766.88</v>
      </c>
      <c r="N110" s="337">
        <f>M110/$O110</f>
        <v>0.94082435179897195</v>
      </c>
      <c r="O110" s="336">
        <f>Details!W110</f>
        <v>3502000</v>
      </c>
      <c r="P110" s="13">
        <f>Details!Y112</f>
        <v>0</v>
      </c>
      <c r="Q110" s="335">
        <f t="shared" si="7"/>
        <v>0</v>
      </c>
      <c r="R110" s="336">
        <f>Details!Z112</f>
        <v>8051448.3599999994</v>
      </c>
    </row>
    <row r="111" spans="1:18" s="407" customFormat="1" ht="39.75" customHeight="1">
      <c r="A111" s="126">
        <v>111</v>
      </c>
      <c r="B111" s="703" t="str">
        <f>Details!B111</f>
        <v>General expenditure including amount transferred to building fund</v>
      </c>
      <c r="C111" s="106">
        <f>Details!F111</f>
        <v>2800920.9792499999</v>
      </c>
      <c r="D111" s="106">
        <f>Details!S111</f>
        <v>2800920.9792499999</v>
      </c>
      <c r="E111" s="339">
        <f>D111/$O111</f>
        <v>0.19958091096242725</v>
      </c>
      <c r="F111" s="731">
        <f>Details!J111</f>
        <v>2519844.9700000002</v>
      </c>
      <c r="G111" s="732">
        <f>Details!T111</f>
        <v>5320765.9492499996</v>
      </c>
      <c r="H111" s="339">
        <f t="shared" si="8"/>
        <v>0.37913362177519522</v>
      </c>
      <c r="I111" s="113">
        <f>Details!M113</f>
        <v>0</v>
      </c>
      <c r="J111" s="65">
        <f>Details!W113</f>
        <v>0</v>
      </c>
      <c r="K111" s="338">
        <f t="shared" si="5"/>
        <v>0</v>
      </c>
      <c r="L111" s="111">
        <f>Details!Q113</f>
        <v>0</v>
      </c>
      <c r="M111" s="65">
        <f>Details!V111</f>
        <v>5320765.9492499996</v>
      </c>
      <c r="N111" s="338"/>
      <c r="O111" s="406">
        <f>Details!W111</f>
        <v>14034012.4</v>
      </c>
      <c r="P111" s="65">
        <f>Details!Y113</f>
        <v>0</v>
      </c>
      <c r="Q111" s="338">
        <f t="shared" si="7"/>
        <v>0</v>
      </c>
      <c r="R111" s="406">
        <f>Details!Z113</f>
        <v>562801.37000000023</v>
      </c>
    </row>
    <row r="112" spans="1:18" ht="20.25" customHeight="1">
      <c r="A112" s="66">
        <v>112</v>
      </c>
      <c r="B112" s="69" t="str">
        <f>Details!B112</f>
        <v>Total expenditure: new auditorium &amp; general</v>
      </c>
      <c r="C112" s="14">
        <f>Details!F112</f>
        <v>4448846.8592499997</v>
      </c>
      <c r="D112" s="14">
        <f>Details!S112</f>
        <v>4448846.8592499997</v>
      </c>
      <c r="E112" s="339">
        <f>D112/$O112</f>
        <v>0.31700462650652922</v>
      </c>
      <c r="F112" s="730">
        <f>Details!J112</f>
        <v>3253685.97</v>
      </c>
      <c r="G112" s="730">
        <f>Details!T112</f>
        <v>7702532.8292500004</v>
      </c>
      <c r="H112" s="733">
        <f t="shared" si="8"/>
        <v>0.54884751485968475</v>
      </c>
      <c r="I112" s="699"/>
      <c r="J112" s="699"/>
      <c r="K112" s="699"/>
      <c r="L112" s="699"/>
      <c r="M112" s="13">
        <f>Details!V112</f>
        <v>7915532.8292500004</v>
      </c>
      <c r="N112" s="700"/>
      <c r="O112" s="336">
        <f>Details!W112</f>
        <v>14034012.4</v>
      </c>
    </row>
    <row r="113" spans="1:15" hidden="1">
      <c r="A113" s="66">
        <v>113</v>
      </c>
      <c r="B113" s="715" t="str">
        <f>Details!B113</f>
        <v>Control</v>
      </c>
      <c r="C113" s="13">
        <f>Details!F113</f>
        <v>7.5000058859586716E-4</v>
      </c>
      <c r="D113" s="185">
        <f>Details!S113</f>
        <v>7.5000058859586716E-4</v>
      </c>
      <c r="E113" s="717"/>
      <c r="F113" s="532"/>
      <c r="G113" s="734"/>
      <c r="H113" s="119"/>
      <c r="I113" s="15"/>
      <c r="J113" s="117"/>
      <c r="K113" s="119"/>
      <c r="L113" s="117"/>
      <c r="M113" s="13">
        <f>Details!V113</f>
        <v>244630.32074999996</v>
      </c>
      <c r="N113" s="91"/>
      <c r="O113" s="336">
        <f>Details!W113</f>
        <v>0</v>
      </c>
    </row>
    <row r="114" spans="1:15">
      <c r="A114" s="66">
        <v>114</v>
      </c>
      <c r="B114" s="723"/>
      <c r="C114" s="449"/>
      <c r="D114" s="449"/>
      <c r="E114" s="717"/>
      <c r="F114" s="449"/>
      <c r="G114" s="449"/>
      <c r="H114" s="119"/>
      <c r="I114" s="15"/>
      <c r="J114" s="117"/>
      <c r="K114" s="119"/>
      <c r="L114" s="117"/>
      <c r="M114" s="449"/>
      <c r="N114" s="91"/>
      <c r="O114" s="714"/>
    </row>
    <row r="115" spans="1:15">
      <c r="A115" s="66">
        <v>115</v>
      </c>
      <c r="B115" s="723" t="s">
        <v>93</v>
      </c>
      <c r="C115" s="449"/>
      <c r="D115" s="449"/>
      <c r="E115" s="717"/>
      <c r="F115" s="449"/>
      <c r="G115" s="449"/>
      <c r="H115" s="119"/>
      <c r="I115" s="15"/>
      <c r="J115" s="117"/>
      <c r="K115" s="119"/>
      <c r="L115" s="117"/>
      <c r="M115" s="449"/>
      <c r="N115" s="91"/>
      <c r="O115" s="714"/>
    </row>
    <row r="116" spans="1:15">
      <c r="A116" s="66">
        <v>116</v>
      </c>
      <c r="B116" s="723" t="s">
        <v>241</v>
      </c>
      <c r="C116" s="449"/>
      <c r="D116" s="449"/>
      <c r="E116" s="717"/>
      <c r="F116" s="449"/>
      <c r="G116" s="449"/>
      <c r="H116" s="119"/>
      <c r="I116" s="15"/>
      <c r="J116" s="117"/>
      <c r="K116" s="119"/>
      <c r="L116" s="117"/>
      <c r="M116" s="449"/>
      <c r="N116" s="91"/>
      <c r="O116" s="714"/>
    </row>
    <row r="117" spans="1:15">
      <c r="A117" s="66">
        <v>117</v>
      </c>
      <c r="B117" s="723" t="s">
        <v>229</v>
      </c>
      <c r="C117" s="449"/>
      <c r="D117" s="449"/>
      <c r="E117" s="717"/>
      <c r="F117" s="449"/>
      <c r="G117" s="449"/>
      <c r="H117" s="119"/>
      <c r="I117" s="15"/>
      <c r="J117" s="117"/>
      <c r="K117" s="119"/>
      <c r="L117" s="117"/>
      <c r="M117" s="449"/>
      <c r="N117" s="91"/>
      <c r="O117" s="714"/>
    </row>
    <row r="118" spans="1:15">
      <c r="A118" s="66">
        <v>118</v>
      </c>
      <c r="B118" s="723" t="s">
        <v>242</v>
      </c>
      <c r="C118" s="449"/>
      <c r="D118" s="449"/>
      <c r="E118" s="717"/>
      <c r="F118" s="449"/>
      <c r="G118" s="449"/>
      <c r="H118" s="119"/>
      <c r="I118" s="15"/>
      <c r="J118" s="117"/>
      <c r="K118" s="119"/>
      <c r="L118" s="117"/>
      <c r="M118" s="449"/>
      <c r="N118" s="91"/>
      <c r="O118" s="714"/>
    </row>
    <row r="119" spans="1:15" ht="18" thickBot="1">
      <c r="A119" s="718">
        <v>119</v>
      </c>
      <c r="B119" s="724" t="s">
        <v>230</v>
      </c>
      <c r="C119" s="177"/>
      <c r="D119" s="177"/>
      <c r="E119" s="719"/>
      <c r="F119" s="449"/>
      <c r="G119" s="449"/>
      <c r="H119" s="119"/>
      <c r="I119" s="15"/>
      <c r="J119" s="117"/>
      <c r="K119" s="119"/>
      <c r="L119" s="117"/>
      <c r="M119" s="449"/>
      <c r="N119" s="91"/>
      <c r="O119" s="714"/>
    </row>
    <row r="120" spans="1:15" ht="18" thickTop="1">
      <c r="A120" s="533"/>
      <c r="B120" s="74"/>
      <c r="C120" s="449"/>
      <c r="D120" s="449"/>
      <c r="E120" s="446"/>
      <c r="F120" s="535"/>
      <c r="G120" s="104"/>
      <c r="H120" s="119"/>
      <c r="I120" s="15"/>
      <c r="J120" s="117"/>
      <c r="K120" s="119"/>
      <c r="L120" s="117"/>
      <c r="M120" s="449"/>
      <c r="N120" s="91"/>
      <c r="O120" s="714"/>
    </row>
    <row r="121" spans="1:15">
      <c r="A121" s="533"/>
      <c r="B121" s="67"/>
      <c r="C121" s="449"/>
      <c r="D121" s="449"/>
      <c r="E121" s="446"/>
      <c r="F121" s="535"/>
      <c r="G121" s="13"/>
      <c r="H121" s="119"/>
      <c r="I121" s="15"/>
      <c r="J121" s="117"/>
      <c r="K121" s="119"/>
      <c r="L121" s="117"/>
      <c r="M121" s="449"/>
      <c r="N121" s="91"/>
      <c r="O121" s="714"/>
    </row>
    <row r="122" spans="1:15">
      <c r="A122" s="533"/>
      <c r="B122" s="67"/>
      <c r="C122" s="449"/>
      <c r="D122" s="449"/>
      <c r="E122" s="446"/>
      <c r="F122" s="535"/>
      <c r="G122" s="13"/>
      <c r="H122" s="119"/>
      <c r="I122" s="15"/>
      <c r="J122" s="117"/>
      <c r="K122" s="119"/>
      <c r="L122" s="117"/>
      <c r="M122" s="449"/>
      <c r="N122" s="91"/>
      <c r="O122" s="714"/>
    </row>
    <row r="123" spans="1:15">
      <c r="A123" s="533"/>
      <c r="B123" s="67"/>
      <c r="C123" s="449"/>
      <c r="D123" s="449"/>
      <c r="E123" s="446"/>
      <c r="F123" s="535"/>
      <c r="G123" s="13"/>
      <c r="H123" s="119"/>
      <c r="I123" s="15"/>
      <c r="J123" s="117"/>
      <c r="K123" s="119"/>
      <c r="L123" s="117"/>
      <c r="M123" s="449"/>
      <c r="N123" s="91"/>
      <c r="O123" s="714"/>
    </row>
    <row r="124" spans="1:15">
      <c r="A124" s="533"/>
      <c r="B124" s="67"/>
      <c r="C124" s="449"/>
      <c r="D124" s="449"/>
      <c r="E124" s="446"/>
      <c r="F124" s="535"/>
      <c r="G124" s="13"/>
      <c r="H124" s="119"/>
      <c r="I124" s="15"/>
      <c r="J124" s="117"/>
      <c r="K124" s="119"/>
      <c r="L124" s="117"/>
      <c r="M124" s="449"/>
      <c r="N124" s="91"/>
      <c r="O124" s="714"/>
    </row>
    <row r="125" spans="1:15">
      <c r="A125" s="533"/>
      <c r="B125" s="67"/>
      <c r="C125" s="449"/>
      <c r="D125" s="449"/>
      <c r="E125" s="446"/>
      <c r="F125" s="535"/>
      <c r="G125" s="13"/>
      <c r="H125" s="119"/>
      <c r="I125" s="15"/>
      <c r="J125" s="117"/>
      <c r="K125" s="119"/>
      <c r="L125" s="117"/>
      <c r="M125" s="449"/>
      <c r="N125" s="91"/>
      <c r="O125" s="714"/>
    </row>
    <row r="126" spans="1:15">
      <c r="A126" s="533"/>
      <c r="B126" s="67"/>
      <c r="C126" s="449"/>
      <c r="D126" s="449"/>
      <c r="E126" s="446"/>
      <c r="F126" s="535"/>
      <c r="G126" s="13"/>
      <c r="H126" s="119"/>
      <c r="I126" s="15"/>
      <c r="J126" s="117"/>
      <c r="K126" s="119"/>
      <c r="L126" s="117"/>
      <c r="M126" s="449"/>
      <c r="N126" s="91"/>
      <c r="O126" s="714"/>
    </row>
    <row r="127" spans="1:15">
      <c r="A127" s="533"/>
      <c r="B127" s="67"/>
      <c r="C127" s="449"/>
      <c r="D127" s="449"/>
      <c r="E127" s="446"/>
      <c r="F127" s="535"/>
      <c r="G127" s="13"/>
      <c r="H127" s="119"/>
      <c r="I127" s="15"/>
      <c r="J127" s="117"/>
      <c r="K127" s="119"/>
      <c r="L127" s="117"/>
      <c r="M127" s="449"/>
      <c r="N127" s="91"/>
      <c r="O127" s="714"/>
    </row>
    <row r="128" spans="1:15">
      <c r="A128" s="533"/>
      <c r="B128" s="67"/>
      <c r="C128" s="449"/>
      <c r="D128" s="449"/>
      <c r="E128" s="446"/>
      <c r="F128" s="535"/>
      <c r="G128" s="13"/>
      <c r="H128" s="119"/>
      <c r="I128" s="15"/>
      <c r="J128" s="117"/>
      <c r="K128" s="119"/>
      <c r="L128" s="117"/>
      <c r="M128" s="449"/>
      <c r="N128" s="91"/>
      <c r="O128" s="714"/>
    </row>
    <row r="129" spans="1:15">
      <c r="A129" s="533"/>
      <c r="B129" s="67"/>
      <c r="C129" s="449"/>
      <c r="D129" s="449"/>
      <c r="E129" s="446"/>
      <c r="F129" s="535"/>
      <c r="G129" s="13"/>
      <c r="H129" s="119"/>
      <c r="I129" s="15"/>
      <c r="J129" s="117"/>
      <c r="K129" s="119"/>
      <c r="L129" s="117"/>
      <c r="M129" s="449"/>
      <c r="N129" s="91"/>
      <c r="O129" s="714"/>
    </row>
    <row r="130" spans="1:15">
      <c r="A130" s="533"/>
      <c r="B130" s="67"/>
      <c r="C130" s="449"/>
      <c r="D130" s="449"/>
      <c r="E130" s="446"/>
      <c r="F130" s="535"/>
      <c r="G130" s="13"/>
      <c r="H130" s="119"/>
      <c r="I130" s="15"/>
      <c r="J130" s="117"/>
      <c r="K130" s="119"/>
      <c r="L130" s="117"/>
      <c r="M130" s="449"/>
      <c r="N130" s="91"/>
      <c r="O130" s="714"/>
    </row>
    <row r="131" spans="1:15">
      <c r="A131" s="533"/>
      <c r="B131" s="67"/>
      <c r="C131" s="449"/>
      <c r="D131" s="449"/>
      <c r="E131" s="446"/>
      <c r="F131" s="535"/>
      <c r="G131" s="13"/>
      <c r="H131" s="119"/>
      <c r="I131" s="15"/>
      <c r="J131" s="117"/>
      <c r="K131" s="119"/>
      <c r="L131" s="117"/>
      <c r="M131" s="449"/>
      <c r="N131" s="91"/>
      <c r="O131" s="714"/>
    </row>
    <row r="132" spans="1:15">
      <c r="A132" s="533"/>
      <c r="B132" s="67">
        <f>Details!B114</f>
        <v>0</v>
      </c>
      <c r="C132" s="534"/>
      <c r="D132" s="534"/>
      <c r="E132" s="446"/>
      <c r="F132" s="535"/>
      <c r="G132" s="13"/>
      <c r="H132" s="119"/>
      <c r="I132" s="15"/>
      <c r="J132" s="117"/>
      <c r="K132" s="119"/>
      <c r="L132" s="117"/>
      <c r="M132" s="117"/>
      <c r="N132" s="91"/>
    </row>
    <row r="133" spans="1:15">
      <c r="A133" s="171"/>
      <c r="B133" s="541" t="s">
        <v>159</v>
      </c>
      <c r="C133" s="14"/>
      <c r="D133" s="542"/>
      <c r="E133" s="543"/>
      <c r="F133" s="14"/>
      <c r="G133" s="13"/>
      <c r="H133" s="119"/>
      <c r="I133" s="15"/>
      <c r="J133" s="117"/>
      <c r="K133" s="119"/>
      <c r="L133" s="117"/>
      <c r="M133" s="117"/>
      <c r="N133" s="91"/>
    </row>
    <row r="134" spans="1:15" ht="39.75" customHeight="1">
      <c r="A134" s="66"/>
      <c r="B134" s="167" t="s">
        <v>40</v>
      </c>
      <c r="C134" s="106" t="s">
        <v>127</v>
      </c>
      <c r="D134" s="125"/>
      <c r="E134" s="168"/>
      <c r="F134" s="169" t="s">
        <v>68</v>
      </c>
      <c r="G134" s="169" t="s">
        <v>150</v>
      </c>
      <c r="H134" s="119"/>
      <c r="I134" s="440" t="s">
        <v>93</v>
      </c>
      <c r="J134" s="117"/>
      <c r="K134" s="119"/>
      <c r="L134" s="117"/>
      <c r="M134" s="117"/>
      <c r="N134" s="91"/>
    </row>
    <row r="135" spans="1:15" ht="17.25" customHeight="1">
      <c r="A135" s="66"/>
      <c r="B135" s="120" t="s">
        <v>118</v>
      </c>
      <c r="C135" s="13">
        <f t="shared" ref="C135:C147" si="9">M6</f>
        <v>528.69999999999993</v>
      </c>
      <c r="D135" s="99"/>
      <c r="E135" s="139"/>
      <c r="F135" s="121">
        <f>C135/Details!W6</f>
        <v>0.88116666666666654</v>
      </c>
      <c r="G135" s="121">
        <f>G6/$O$24</f>
        <v>2.904987432646338E-4</v>
      </c>
      <c r="H135" s="449"/>
      <c r="I135" s="768"/>
      <c r="J135" s="769"/>
      <c r="K135" s="769"/>
      <c r="L135" s="769"/>
      <c r="M135" s="769"/>
      <c r="N135" s="770"/>
    </row>
    <row r="136" spans="1:15">
      <c r="A136" s="66"/>
      <c r="B136" s="120" t="s">
        <v>115</v>
      </c>
      <c r="C136" s="13">
        <f t="shared" si="9"/>
        <v>121770</v>
      </c>
      <c r="D136" s="99"/>
      <c r="E136" s="139"/>
      <c r="F136" s="121">
        <f>C136/Details!W7</f>
        <v>0.81179999999999997</v>
      </c>
      <c r="G136" s="121">
        <f>G7/$O$24</f>
        <v>6.6907569448334522E-2</v>
      </c>
      <c r="H136" s="449"/>
      <c r="I136" s="768"/>
      <c r="J136" s="769"/>
      <c r="K136" s="769"/>
      <c r="L136" s="769"/>
      <c r="M136" s="769"/>
      <c r="N136" s="770"/>
    </row>
    <row r="137" spans="1:15">
      <c r="A137" s="66"/>
      <c r="B137" s="120" t="s">
        <v>116</v>
      </c>
      <c r="C137" s="13">
        <f t="shared" si="9"/>
        <v>943800</v>
      </c>
      <c r="D137" s="99"/>
      <c r="E137" s="139"/>
      <c r="F137" s="121">
        <f>C137/Details!W8</f>
        <v>0.47189999999999999</v>
      </c>
      <c r="G137" s="121">
        <f>G8/$O$24</f>
        <v>0.51857899355619719</v>
      </c>
      <c r="H137" s="449"/>
      <c r="I137" s="768"/>
      <c r="J137" s="769"/>
      <c r="K137" s="769"/>
      <c r="L137" s="769"/>
      <c r="M137" s="769"/>
      <c r="N137" s="770"/>
    </row>
    <row r="138" spans="1:15">
      <c r="A138" s="66"/>
      <c r="B138" s="120" t="s">
        <v>198</v>
      </c>
      <c r="C138" s="13">
        <f t="shared" si="9"/>
        <v>418000</v>
      </c>
      <c r="D138" s="99"/>
      <c r="E138" s="139"/>
      <c r="F138" s="121">
        <f>C138/Details!W9</f>
        <v>4.18</v>
      </c>
      <c r="G138" s="121"/>
      <c r="H138" s="449"/>
      <c r="I138" s="768"/>
      <c r="J138" s="769"/>
      <c r="K138" s="769"/>
      <c r="L138" s="769"/>
      <c r="M138" s="769"/>
      <c r="N138" s="770"/>
    </row>
    <row r="139" spans="1:15">
      <c r="A139" s="66"/>
      <c r="B139" s="120" t="s">
        <v>199</v>
      </c>
      <c r="C139" s="13">
        <f t="shared" si="9"/>
        <v>0</v>
      </c>
      <c r="D139" s="99"/>
      <c r="E139" s="139"/>
      <c r="F139" s="121"/>
      <c r="G139" s="121"/>
      <c r="H139" s="449"/>
      <c r="I139" s="768"/>
      <c r="J139" s="769"/>
      <c r="K139" s="769"/>
      <c r="L139" s="769"/>
      <c r="M139" s="769"/>
      <c r="N139" s="770"/>
    </row>
    <row r="140" spans="1:15">
      <c r="A140" s="66"/>
      <c r="B140" s="120" t="s">
        <v>200</v>
      </c>
      <c r="C140" s="13">
        <f t="shared" si="9"/>
        <v>0</v>
      </c>
      <c r="D140" s="99"/>
      <c r="E140" s="139"/>
      <c r="F140" s="121"/>
      <c r="G140" s="121"/>
      <c r="H140" s="119"/>
      <c r="I140" s="440"/>
      <c r="J140" s="117"/>
      <c r="K140" s="119"/>
      <c r="L140" s="117"/>
      <c r="M140" s="117"/>
      <c r="N140" s="91"/>
    </row>
    <row r="141" spans="1:15">
      <c r="A141" s="66"/>
      <c r="B141" s="120" t="s">
        <v>201</v>
      </c>
      <c r="C141" s="13">
        <f t="shared" si="9"/>
        <v>100000</v>
      </c>
      <c r="D141" s="99"/>
      <c r="E141" s="139"/>
      <c r="F141" s="121"/>
      <c r="G141" s="121"/>
      <c r="H141" s="119"/>
      <c r="I141" s="440"/>
      <c r="J141" s="117"/>
      <c r="K141" s="119"/>
      <c r="L141" s="117"/>
      <c r="M141" s="117"/>
      <c r="N141" s="91"/>
    </row>
    <row r="142" spans="1:15">
      <c r="A142" s="66"/>
      <c r="B142" s="120" t="s">
        <v>202</v>
      </c>
      <c r="C142" s="13">
        <f t="shared" si="9"/>
        <v>0</v>
      </c>
      <c r="D142" s="99"/>
      <c r="E142" s="139"/>
      <c r="F142" s="121"/>
      <c r="G142" s="121"/>
      <c r="H142" s="119"/>
      <c r="I142" s="440"/>
      <c r="J142" s="117"/>
      <c r="K142" s="119"/>
      <c r="L142" s="117"/>
      <c r="M142" s="117"/>
      <c r="N142" s="91"/>
    </row>
    <row r="143" spans="1:15">
      <c r="A143" s="66"/>
      <c r="B143" s="120" t="s">
        <v>203</v>
      </c>
      <c r="C143" s="13">
        <f t="shared" si="9"/>
        <v>0</v>
      </c>
      <c r="D143" s="99"/>
      <c r="E143" s="139"/>
      <c r="F143" s="121"/>
      <c r="G143" s="121"/>
      <c r="H143" s="119"/>
      <c r="I143" s="440"/>
      <c r="J143" s="117"/>
      <c r="K143" s="119"/>
      <c r="L143" s="117"/>
      <c r="M143" s="117"/>
      <c r="N143" s="91"/>
    </row>
    <row r="144" spans="1:15">
      <c r="A144" s="66"/>
      <c r="B144" s="120" t="s">
        <v>204</v>
      </c>
      <c r="C144" s="13">
        <f t="shared" si="9"/>
        <v>598815</v>
      </c>
      <c r="D144" s="99"/>
      <c r="E144" s="139"/>
      <c r="F144" s="121">
        <f>C144/Details!W15</f>
        <v>0.59881499999999999</v>
      </c>
      <c r="G144" s="121">
        <f>G14/$O$24</f>
        <v>0</v>
      </c>
      <c r="H144" s="119"/>
      <c r="I144" s="440"/>
      <c r="J144" s="117"/>
      <c r="K144" s="119"/>
      <c r="L144" s="117"/>
      <c r="M144" s="117"/>
      <c r="N144" s="91"/>
    </row>
    <row r="145" spans="1:14">
      <c r="A145" s="66"/>
      <c r="B145" s="120" t="s">
        <v>117</v>
      </c>
      <c r="C145" s="13">
        <f t="shared" si="9"/>
        <v>125430</v>
      </c>
      <c r="D145" s="99"/>
      <c r="E145" s="139"/>
      <c r="F145" s="121">
        <f>C145/Details!W16</f>
        <v>0.73782352941176466</v>
      </c>
      <c r="G145" s="121">
        <f>G15/$O$24</f>
        <v>0.32902403054286311</v>
      </c>
      <c r="H145" s="119"/>
      <c r="I145" s="440"/>
      <c r="J145" s="117"/>
      <c r="K145" s="119"/>
      <c r="L145" s="117"/>
      <c r="M145" s="117"/>
      <c r="N145" s="91"/>
    </row>
    <row r="146" spans="1:14">
      <c r="A146" s="66"/>
      <c r="B146" s="120" t="s">
        <v>114</v>
      </c>
      <c r="C146" s="13">
        <f t="shared" si="9"/>
        <v>423875</v>
      </c>
      <c r="D146" s="99"/>
      <c r="E146" s="139"/>
      <c r="F146" s="121">
        <f>C146/Details!W17</f>
        <v>1.0596874999999999</v>
      </c>
      <c r="G146" s="121">
        <f>G16/$O$24</f>
        <v>6.8918587795882405E-2</v>
      </c>
      <c r="H146" s="119"/>
      <c r="I146" s="440"/>
      <c r="J146" s="117"/>
      <c r="K146" s="119"/>
      <c r="L146" s="117"/>
      <c r="M146" s="117"/>
      <c r="N146" s="91"/>
    </row>
    <row r="147" spans="1:14">
      <c r="A147" s="66"/>
      <c r="B147" s="122" t="s">
        <v>113</v>
      </c>
      <c r="C147" s="13">
        <f t="shared" si="9"/>
        <v>3607971</v>
      </c>
      <c r="D147" s="99"/>
      <c r="E147" s="139"/>
      <c r="F147" s="121">
        <f>C147/Details!W18</f>
        <v>0.55507246153846157</v>
      </c>
      <c r="G147" s="121">
        <f>G17/$O$24</f>
        <v>0.23290174919859405</v>
      </c>
      <c r="H147" s="119"/>
      <c r="I147" s="440"/>
      <c r="J147" s="117"/>
      <c r="K147" s="119"/>
      <c r="L147" s="117"/>
      <c r="M147" s="117"/>
      <c r="N147" s="91"/>
    </row>
    <row r="148" spans="1:14" ht="18" customHeight="1">
      <c r="A148" s="66"/>
      <c r="B148" s="122" t="s">
        <v>158</v>
      </c>
      <c r="C148" s="65">
        <f>C24</f>
        <v>1819973.4500000002</v>
      </c>
      <c r="D148" s="124"/>
      <c r="E148" s="140"/>
      <c r="F148" s="340"/>
      <c r="G148" s="340">
        <f>G23/$O$24</f>
        <v>1.6483756947113706E-3</v>
      </c>
      <c r="H148" s="119"/>
      <c r="I148" s="15"/>
      <c r="J148" s="117"/>
      <c r="K148" s="119"/>
      <c r="L148" s="117"/>
      <c r="M148" s="117"/>
      <c r="N148" s="91"/>
    </row>
    <row r="149" spans="1:14">
      <c r="A149" s="66"/>
      <c r="B149" s="75" t="s">
        <v>119</v>
      </c>
      <c r="C149" s="13">
        <f>M25</f>
        <v>8160163.1500000004</v>
      </c>
      <c r="D149" s="99"/>
      <c r="E149" s="139"/>
      <c r="F149" s="121">
        <f>C149/Details!W25</f>
        <v>0.65330572552695731</v>
      </c>
      <c r="G149" s="121">
        <f>G106/$O$24</f>
        <v>0</v>
      </c>
      <c r="H149" s="119"/>
      <c r="I149" s="15"/>
      <c r="J149" s="117"/>
      <c r="K149" s="119"/>
      <c r="L149" s="117"/>
      <c r="M149" s="117"/>
      <c r="N149" s="91"/>
    </row>
    <row r="150" spans="1:14">
      <c r="A150" s="66"/>
      <c r="B150" s="75"/>
      <c r="C150" s="13"/>
      <c r="D150" s="99"/>
      <c r="E150" s="139"/>
      <c r="F150" s="13"/>
      <c r="G150" s="13"/>
      <c r="H150" s="119"/>
      <c r="I150" s="15"/>
      <c r="J150" s="117"/>
      <c r="K150" s="119"/>
      <c r="L150" s="117"/>
      <c r="M150" s="117"/>
      <c r="N150" s="91"/>
    </row>
    <row r="151" spans="1:14" ht="34.5">
      <c r="A151" s="66"/>
      <c r="B151" s="167" t="s">
        <v>88</v>
      </c>
      <c r="C151" s="106" t="s">
        <v>127</v>
      </c>
      <c r="D151" s="125"/>
      <c r="E151" s="168"/>
      <c r="F151" s="169" t="s">
        <v>68</v>
      </c>
      <c r="G151" s="333" t="s">
        <v>151</v>
      </c>
      <c r="H151" s="119"/>
      <c r="I151" s="15" t="s">
        <v>93</v>
      </c>
      <c r="J151" s="117"/>
      <c r="K151" s="119"/>
      <c r="L151" s="117"/>
      <c r="M151" s="117"/>
      <c r="N151" s="91"/>
    </row>
    <row r="152" spans="1:14">
      <c r="A152" s="66"/>
      <c r="B152" s="67" t="s">
        <v>76</v>
      </c>
      <c r="C152" s="13">
        <f>M27</f>
        <v>1016150</v>
      </c>
      <c r="D152" s="99"/>
      <c r="E152" s="139"/>
      <c r="F152" s="121">
        <f>C152/Details!W27</f>
        <v>0.33730000663878379</v>
      </c>
      <c r="G152" s="121">
        <f t="shared" ref="G152:G157" si="10">C152/$C$158</f>
        <v>0.60903201399272255</v>
      </c>
      <c r="H152" s="119"/>
      <c r="I152" s="440"/>
      <c r="J152" s="441"/>
      <c r="K152" s="442"/>
      <c r="L152" s="441"/>
      <c r="M152" s="441"/>
      <c r="N152" s="370"/>
    </row>
    <row r="153" spans="1:14">
      <c r="A153" s="66"/>
      <c r="B153" s="67" t="s">
        <v>57</v>
      </c>
      <c r="C153" s="13">
        <f>M56</f>
        <v>0</v>
      </c>
      <c r="D153" s="99"/>
      <c r="E153" s="139"/>
      <c r="F153" s="121">
        <f>C153/Details!W57</f>
        <v>0</v>
      </c>
      <c r="G153" s="121">
        <f t="shared" si="10"/>
        <v>0</v>
      </c>
      <c r="H153" s="449"/>
      <c r="I153" s="778"/>
      <c r="J153" s="779"/>
      <c r="K153" s="779"/>
      <c r="L153" s="779"/>
      <c r="M153" s="779"/>
      <c r="N153" s="780"/>
    </row>
    <row r="154" spans="1:14">
      <c r="A154" s="66"/>
      <c r="B154" s="67" t="s">
        <v>60</v>
      </c>
      <c r="C154" s="13">
        <f>M61</f>
        <v>0</v>
      </c>
      <c r="D154" s="99"/>
      <c r="E154" s="139"/>
      <c r="F154" s="121">
        <f>C154/Details!W62</f>
        <v>0</v>
      </c>
      <c r="G154" s="121">
        <f t="shared" si="10"/>
        <v>0</v>
      </c>
      <c r="H154" s="449"/>
      <c r="I154" s="773"/>
      <c r="J154" s="774"/>
      <c r="K154" s="774"/>
      <c r="L154" s="774"/>
      <c r="M154" s="774"/>
      <c r="N154" s="775"/>
    </row>
    <row r="155" spans="1:14" ht="19.5" customHeight="1">
      <c r="A155" s="66"/>
      <c r="B155" s="71" t="s">
        <v>66</v>
      </c>
      <c r="C155" s="65">
        <f>M79</f>
        <v>40000</v>
      </c>
      <c r="D155" s="124"/>
      <c r="E155" s="140"/>
      <c r="F155" s="340">
        <f>C155/Details!W81</f>
        <v>9.6339113680154135E-3</v>
      </c>
      <c r="G155" s="121">
        <f t="shared" si="10"/>
        <v>2.3974098863070316E-2</v>
      </c>
      <c r="H155" s="449"/>
      <c r="I155" s="773"/>
      <c r="J155" s="774"/>
      <c r="K155" s="774"/>
      <c r="L155" s="774"/>
      <c r="M155" s="774"/>
      <c r="N155" s="775"/>
    </row>
    <row r="156" spans="1:14">
      <c r="A156" s="66"/>
      <c r="B156" s="67" t="s">
        <v>67</v>
      </c>
      <c r="C156" s="13">
        <f>M87</f>
        <v>0</v>
      </c>
      <c r="D156" s="99"/>
      <c r="E156" s="139"/>
      <c r="F156" s="121">
        <f>C156/Details!W89</f>
        <v>0</v>
      </c>
      <c r="G156" s="121">
        <f t="shared" si="10"/>
        <v>0</v>
      </c>
      <c r="H156" s="119"/>
      <c r="I156" s="537"/>
      <c r="J156" s="538"/>
      <c r="K156" s="539"/>
      <c r="L156" s="538"/>
      <c r="M156" s="538"/>
      <c r="N156" s="540"/>
    </row>
    <row r="157" spans="1:14">
      <c r="A157" s="66"/>
      <c r="B157" s="67" t="s">
        <v>100</v>
      </c>
      <c r="C157" s="13">
        <f>M92</f>
        <v>612317.30000000005</v>
      </c>
      <c r="D157" s="99"/>
      <c r="E157" s="139"/>
      <c r="F157" s="332"/>
      <c r="G157" s="121">
        <f t="shared" si="10"/>
        <v>0.36699388714420716</v>
      </c>
      <c r="H157" s="119"/>
      <c r="I157" s="440"/>
      <c r="J157" s="117"/>
      <c r="K157" s="119"/>
      <c r="L157" s="441"/>
      <c r="M157" s="117"/>
      <c r="N157" s="91"/>
    </row>
    <row r="158" spans="1:14">
      <c r="A158" s="66"/>
      <c r="B158" s="75" t="s">
        <v>119</v>
      </c>
      <c r="C158" s="13">
        <f>SUM(C152:C157)</f>
        <v>1668467.3</v>
      </c>
      <c r="D158" s="99"/>
      <c r="E158" s="139"/>
      <c r="F158" s="121">
        <f>C158/Details!W98</f>
        <v>0.11888740386177797</v>
      </c>
      <c r="G158" s="13"/>
      <c r="H158" s="119"/>
      <c r="I158" s="440"/>
      <c r="J158" s="117"/>
      <c r="K158" s="119"/>
      <c r="L158" s="117"/>
      <c r="M158" s="117"/>
      <c r="N158" s="91"/>
    </row>
    <row r="159" spans="1:14" ht="21.75" customHeight="1" thickBot="1">
      <c r="A159" s="66"/>
      <c r="B159" s="71" t="s">
        <v>120</v>
      </c>
      <c r="C159" s="65">
        <f>M97</f>
        <v>0</v>
      </c>
      <c r="D159" s="99"/>
      <c r="E159" s="139"/>
      <c r="F159" s="121"/>
      <c r="G159" s="174"/>
      <c r="H159" s="175"/>
      <c r="I159" s="536" t="s">
        <v>205</v>
      </c>
      <c r="J159" s="449"/>
      <c r="K159" s="119"/>
      <c r="L159" s="449"/>
      <c r="M159" s="449"/>
      <c r="N159" s="91"/>
    </row>
    <row r="160" spans="1:14" ht="18" thickTop="1">
      <c r="A160" s="132"/>
      <c r="B160" s="443"/>
      <c r="C160" s="444"/>
      <c r="D160" s="445"/>
      <c r="E160" s="446"/>
      <c r="F160" s="447"/>
      <c r="G160" s="447"/>
      <c r="H160" s="449"/>
      <c r="I160" s="448"/>
      <c r="J160" s="449"/>
      <c r="K160" s="119"/>
      <c r="L160" s="449"/>
      <c r="M160" s="449"/>
      <c r="N160" s="91"/>
    </row>
    <row r="161" spans="1:14">
      <c r="A161" s="132"/>
      <c r="B161" s="443"/>
      <c r="C161" s="444"/>
      <c r="D161" s="445"/>
      <c r="E161" s="446"/>
      <c r="F161" s="447"/>
      <c r="G161" s="447"/>
      <c r="H161" s="119"/>
      <c r="I161" s="448"/>
      <c r="J161" s="449"/>
      <c r="K161" s="119"/>
      <c r="L161" s="449"/>
      <c r="M161" s="449"/>
      <c r="N161" s="91"/>
    </row>
    <row r="162" spans="1:14">
      <c r="A162" s="132"/>
      <c r="B162" s="443"/>
      <c r="C162" s="444"/>
      <c r="D162" s="445"/>
      <c r="E162" s="446"/>
      <c r="F162" s="447"/>
      <c r="G162" s="447"/>
      <c r="H162" s="119"/>
      <c r="I162" s="448"/>
      <c r="J162" s="449"/>
      <c r="K162" s="119"/>
      <c r="L162" s="449"/>
      <c r="M162" s="449"/>
      <c r="N162" s="91"/>
    </row>
    <row r="163" spans="1:14">
      <c r="A163" s="132"/>
      <c r="B163" s="443"/>
      <c r="C163" s="444"/>
      <c r="D163" s="445"/>
      <c r="E163" s="446"/>
      <c r="F163" s="447"/>
      <c r="G163" s="447"/>
      <c r="H163" s="119"/>
      <c r="I163" s="448"/>
      <c r="J163" s="449"/>
      <c r="K163" s="119"/>
      <c r="L163" s="449"/>
      <c r="M163" s="449"/>
      <c r="N163" s="91"/>
    </row>
    <row r="164" spans="1:14" ht="18" thickBot="1">
      <c r="A164" s="452"/>
      <c r="B164" s="453"/>
      <c r="C164" s="454"/>
      <c r="D164" s="455"/>
      <c r="E164" s="456"/>
      <c r="F164" s="457"/>
      <c r="G164" s="458"/>
      <c r="H164" s="175"/>
      <c r="I164" s="176"/>
      <c r="J164" s="177"/>
      <c r="K164" s="175"/>
      <c r="L164" s="177"/>
      <c r="M164" s="177"/>
      <c r="N164" s="178"/>
    </row>
    <row r="165" spans="1:14" ht="18" thickTop="1">
      <c r="A165" s="171"/>
      <c r="B165" s="450" t="s">
        <v>121</v>
      </c>
      <c r="C165" s="451">
        <f>C149-C158-C159</f>
        <v>6491695.8500000006</v>
      </c>
      <c r="D165" s="105"/>
      <c r="E165" s="172"/>
      <c r="F165" s="104"/>
      <c r="G165" s="104"/>
      <c r="H165" s="119"/>
      <c r="I165" s="15"/>
      <c r="J165" s="117"/>
      <c r="K165" s="119"/>
      <c r="L165" s="117"/>
      <c r="M165" s="117"/>
    </row>
    <row r="166" spans="1:14">
      <c r="A166" s="66"/>
      <c r="B166" s="67"/>
      <c r="C166" s="13"/>
      <c r="D166" s="99"/>
      <c r="E166" s="118"/>
      <c r="F166" s="13"/>
      <c r="G166" s="13"/>
      <c r="H166" s="119"/>
      <c r="I166" s="15"/>
      <c r="J166" s="117"/>
      <c r="K166" s="119"/>
      <c r="L166" s="117"/>
      <c r="M166" s="117"/>
    </row>
    <row r="167" spans="1:14">
      <c r="A167" s="66"/>
      <c r="B167" s="67"/>
      <c r="C167" s="13"/>
      <c r="D167" s="99"/>
      <c r="E167" s="118"/>
      <c r="F167" s="117"/>
      <c r="G167" s="117"/>
      <c r="H167" s="119"/>
      <c r="I167" s="15"/>
      <c r="J167" s="117"/>
      <c r="K167" s="119"/>
      <c r="L167" s="117"/>
      <c r="M167" s="117"/>
    </row>
    <row r="168" spans="1:14">
      <c r="A168" s="66"/>
      <c r="B168" s="67"/>
      <c r="C168" s="13"/>
      <c r="D168" s="99"/>
      <c r="E168" s="118"/>
      <c r="F168" s="117"/>
      <c r="G168" s="117"/>
      <c r="H168" s="119"/>
      <c r="I168" s="15"/>
      <c r="J168" s="117"/>
      <c r="K168" s="119"/>
      <c r="L168" s="117"/>
      <c r="M168" s="117"/>
    </row>
    <row r="169" spans="1:14">
      <c r="A169" s="66"/>
      <c r="B169" s="67"/>
      <c r="C169" s="13"/>
      <c r="D169" s="99"/>
      <c r="E169" s="118"/>
      <c r="F169" s="117"/>
      <c r="G169" s="117"/>
      <c r="H169" s="119"/>
      <c r="I169" s="15"/>
      <c r="J169" s="117"/>
      <c r="K169" s="119"/>
      <c r="L169" s="117"/>
      <c r="M169" s="117"/>
    </row>
    <row r="170" spans="1:14">
      <c r="A170" s="66"/>
      <c r="B170" s="67"/>
      <c r="C170" s="13"/>
      <c r="D170" s="99"/>
      <c r="E170" s="118"/>
      <c r="F170" s="117"/>
      <c r="G170" s="117"/>
      <c r="H170" s="119"/>
      <c r="I170" s="15"/>
      <c r="J170" s="117"/>
      <c r="K170" s="119"/>
      <c r="L170" s="117"/>
      <c r="M170" s="117"/>
    </row>
    <row r="171" spans="1:14">
      <c r="A171" s="66"/>
      <c r="B171" s="67"/>
      <c r="C171" s="13"/>
      <c r="D171" s="99"/>
      <c r="E171" s="118"/>
      <c r="F171" s="117"/>
      <c r="G171" s="117"/>
      <c r="H171" s="119"/>
      <c r="I171" s="15"/>
      <c r="J171" s="117"/>
      <c r="K171" s="119"/>
      <c r="L171" s="117"/>
      <c r="M171" s="117"/>
    </row>
    <row r="172" spans="1:14">
      <c r="A172" s="66"/>
      <c r="B172" s="67"/>
      <c r="C172" s="13"/>
      <c r="D172" s="99"/>
      <c r="E172" s="118"/>
      <c r="F172" s="117"/>
      <c r="G172" s="117"/>
      <c r="H172" s="119"/>
      <c r="I172" s="15"/>
      <c r="J172" s="117"/>
      <c r="K172" s="119"/>
      <c r="L172" s="117"/>
      <c r="M172" s="117"/>
    </row>
    <row r="173" spans="1:14">
      <c r="A173" s="66"/>
      <c r="B173" s="67"/>
      <c r="C173" s="13"/>
      <c r="D173" s="99"/>
      <c r="E173" s="118"/>
      <c r="F173" s="117"/>
      <c r="G173" s="117"/>
      <c r="H173" s="119"/>
      <c r="I173" s="15"/>
      <c r="J173" s="117"/>
      <c r="K173" s="119"/>
      <c r="L173" s="117"/>
      <c r="M173" s="117"/>
    </row>
    <row r="174" spans="1:14">
      <c r="A174" s="66"/>
      <c r="B174" s="67"/>
      <c r="C174" s="13"/>
      <c r="D174" s="99"/>
      <c r="E174" s="118"/>
      <c r="F174" s="117"/>
      <c r="G174" s="117"/>
      <c r="H174" s="119"/>
      <c r="I174" s="15"/>
      <c r="J174" s="117"/>
      <c r="K174" s="119"/>
      <c r="L174" s="117"/>
      <c r="M174" s="117"/>
    </row>
    <row r="175" spans="1:14">
      <c r="A175" s="66"/>
      <c r="B175" s="67"/>
      <c r="C175" s="13"/>
      <c r="D175" s="99"/>
      <c r="E175" s="118"/>
      <c r="F175" s="117"/>
      <c r="G175" s="117"/>
      <c r="H175" s="119"/>
      <c r="I175" s="15"/>
      <c r="J175" s="117"/>
      <c r="K175" s="119"/>
      <c r="L175" s="117"/>
      <c r="M175" s="117"/>
    </row>
    <row r="176" spans="1:14">
      <c r="A176" s="66"/>
      <c r="B176" s="67"/>
      <c r="C176" s="13"/>
      <c r="D176" s="99"/>
      <c r="E176" s="118"/>
      <c r="F176" s="117"/>
      <c r="G176" s="117"/>
      <c r="H176" s="119"/>
      <c r="I176" s="15"/>
      <c r="J176" s="117"/>
      <c r="K176" s="119"/>
      <c r="L176" s="117"/>
      <c r="M176" s="117"/>
    </row>
    <row r="177" spans="1:11">
      <c r="A177" s="163"/>
      <c r="B177" s="164"/>
      <c r="C177" s="165"/>
      <c r="D177" s="166"/>
      <c r="H177" s="91"/>
      <c r="K177" s="91"/>
    </row>
    <row r="178" spans="1:11">
      <c r="A178" s="126" t="s">
        <v>93</v>
      </c>
      <c r="B178" s="776" t="s">
        <v>152</v>
      </c>
      <c r="C178" s="777"/>
      <c r="D178" s="777"/>
      <c r="E178" s="777"/>
      <c r="F178" s="777"/>
      <c r="G178" s="777"/>
      <c r="H178" s="777"/>
      <c r="I178" s="197"/>
      <c r="J178" s="197"/>
      <c r="K178" s="198"/>
    </row>
  </sheetData>
  <sortState ref="B135:B147">
    <sortCondition ref="B135"/>
  </sortState>
  <mergeCells count="13">
    <mergeCell ref="I154:N154"/>
    <mergeCell ref="I155:N155"/>
    <mergeCell ref="B178:H178"/>
    <mergeCell ref="I138:N139"/>
    <mergeCell ref="I153:N153"/>
    <mergeCell ref="A1:H1"/>
    <mergeCell ref="A2:H2"/>
    <mergeCell ref="A3:H3"/>
    <mergeCell ref="I135:N137"/>
    <mergeCell ref="L5:M5"/>
    <mergeCell ref="C5:D5"/>
    <mergeCell ref="F5:G5"/>
    <mergeCell ref="I5:J5"/>
  </mergeCells>
  <pageMargins left="0.87" right="0.86" top="0.8" bottom="0.83" header="0.5" footer="0.5"/>
  <pageSetup paperSize="9" scale="88" fitToWidth="0" fitToHeight="4" orientation="landscape" r:id="rId1"/>
  <headerFooter>
    <oddFooter>&amp;L&amp;F&amp;C&amp;A&amp;R&amp;P</oddFooter>
  </headerFooter>
  <rowBreaks count="1" manualBreakCount="1">
    <brk id="93" max="7" man="1"/>
  </rowBreaks>
  <drawing r:id="rId2"/>
</worksheet>
</file>

<file path=xl/worksheets/sheet2.xml><?xml version="1.0" encoding="utf-8"?>
<worksheet xmlns="http://schemas.openxmlformats.org/spreadsheetml/2006/main" xmlns:r="http://schemas.openxmlformats.org/officeDocument/2006/relationships">
  <dimension ref="A1:Z156"/>
  <sheetViews>
    <sheetView workbookViewId="0">
      <pane xSplit="2" ySplit="5" topLeftCell="D6" activePane="bottomRight" state="frozen"/>
      <selection pane="topRight" activeCell="C1" sqref="C1"/>
      <selection pane="bottomLeft" activeCell="A6" sqref="A6"/>
      <selection pane="bottomRight" activeCell="G19" sqref="G19"/>
    </sheetView>
  </sheetViews>
  <sheetFormatPr defaultRowHeight="15.75"/>
  <cols>
    <col min="1" max="1" width="9.140625" style="367"/>
    <col min="2" max="2" width="42" style="677" customWidth="1"/>
    <col min="3" max="3" width="22.140625" style="367" customWidth="1"/>
    <col min="4" max="4" width="19.5703125" style="367" customWidth="1"/>
    <col min="5" max="5" width="19.5703125" style="679" customWidth="1"/>
    <col min="6" max="6" width="20.5703125" style="367" customWidth="1"/>
    <col min="7" max="7" width="19.5703125" style="367" customWidth="1"/>
    <col min="8" max="8" width="19.42578125" style="367" customWidth="1"/>
    <col min="9" max="9" width="18.85546875" style="367" customWidth="1"/>
    <col min="10" max="10" width="20.42578125" style="367" customWidth="1"/>
    <col min="11" max="11" width="24.140625" style="369" customWidth="1"/>
    <col min="12" max="12" width="19.85546875" style="367" customWidth="1"/>
    <col min="13" max="13" width="24.140625" style="367" customWidth="1"/>
    <col min="14" max="14" width="21" style="369" customWidth="1"/>
    <col min="15" max="15" width="22" style="367" customWidth="1"/>
    <col min="16" max="16" width="18.85546875" style="367" customWidth="1"/>
    <col min="17" max="17" width="20.85546875" style="367" customWidth="1"/>
    <col min="18" max="18" width="20.5703125" style="367" customWidth="1"/>
    <col min="19" max="19" width="21.28515625" style="367" customWidth="1"/>
    <col min="20" max="20" width="19.85546875" style="367" customWidth="1"/>
    <col min="21" max="21" width="21.140625" style="367" customWidth="1"/>
    <col min="22" max="22" width="24" style="367" customWidth="1"/>
    <col min="23" max="23" width="26" style="563" customWidth="1"/>
    <col min="24" max="24" width="9.140625" style="367" customWidth="1"/>
    <col min="25" max="25" width="10.5703125" style="367" customWidth="1"/>
    <col min="26" max="26" width="33.42578125" style="367" customWidth="1"/>
    <col min="27" max="16384" width="9.140625" style="367"/>
  </cols>
  <sheetData>
    <row r="1" spans="1:26">
      <c r="B1" s="559"/>
      <c r="C1" s="369">
        <f>E22+33000+5000-89000-197830-299000-100000-80000</f>
        <v>-139450.31000000006</v>
      </c>
      <c r="D1" s="560">
        <v>0.03</v>
      </c>
      <c r="E1" s="561">
        <f>D1*(SUM($E$15:$E$18))</f>
        <v>28843.95</v>
      </c>
      <c r="F1" s="369" t="s">
        <v>207</v>
      </c>
      <c r="G1" s="562"/>
      <c r="I1" s="369"/>
      <c r="L1" s="440"/>
      <c r="O1" s="369"/>
      <c r="P1" s="367" t="s">
        <v>191</v>
      </c>
      <c r="Q1" s="440">
        <f>SUM($O$15:$O$18)*0.03</f>
        <v>0</v>
      </c>
      <c r="R1" s="440">
        <f>SUM($P$15:$P$18)*0.03</f>
        <v>0</v>
      </c>
      <c r="S1" s="440"/>
      <c r="T1" s="440"/>
    </row>
    <row r="2" spans="1:26">
      <c r="B2" s="564">
        <f>4340+50000+10000+24000+10000+11000+4300+3000+60000</f>
        <v>176640</v>
      </c>
      <c r="C2" s="369"/>
      <c r="D2" s="560">
        <v>7.0000000000000007E-2</v>
      </c>
      <c r="E2" s="561">
        <f>D2*(SUM($E$15:$E$18))</f>
        <v>67302.55</v>
      </c>
      <c r="F2" s="440" t="s">
        <v>208</v>
      </c>
      <c r="G2" s="440">
        <f>57627.29+F100</f>
        <v>230504.19</v>
      </c>
      <c r="H2" s="440">
        <f>F104+15000+25000-4</f>
        <v>215564.19</v>
      </c>
      <c r="I2" s="440">
        <f>212833.9-F100</f>
        <v>39957</v>
      </c>
      <c r="J2" s="565">
        <f>40*0.075</f>
        <v>3</v>
      </c>
      <c r="K2" s="562"/>
      <c r="L2" s="562"/>
      <c r="M2" s="562"/>
      <c r="O2" s="369"/>
      <c r="P2" s="440" t="s">
        <v>192</v>
      </c>
      <c r="Q2" s="369">
        <f>SUM($O$15:$O$18)*0.07</f>
        <v>0</v>
      </c>
      <c r="R2" s="369">
        <f>SUM($P$15:$P$18)*0.07</f>
        <v>0</v>
      </c>
      <c r="S2" s="440"/>
      <c r="T2" s="440"/>
    </row>
    <row r="3" spans="1:26">
      <c r="B3" s="564">
        <f>30000+45000+6000+5000+9000+2000+23000</f>
        <v>120000</v>
      </c>
      <c r="C3" s="369"/>
      <c r="D3" s="560">
        <v>0.2</v>
      </c>
      <c r="E3" s="561">
        <f>D3*(SUM($E$15:$E$18))</f>
        <v>192293</v>
      </c>
      <c r="F3" s="369" t="s">
        <v>209</v>
      </c>
      <c r="G3" s="440">
        <f>212833.9-F100</f>
        <v>39957</v>
      </c>
      <c r="H3" s="440"/>
      <c r="I3" s="440">
        <f>I2-15000-25000</f>
        <v>-43</v>
      </c>
      <c r="K3" s="566"/>
      <c r="L3" s="566"/>
      <c r="M3" s="566"/>
      <c r="N3" s="567"/>
      <c r="O3" s="440"/>
      <c r="P3" s="367" t="s">
        <v>193</v>
      </c>
      <c r="Q3" s="440">
        <f>(SUM($O$15:$O$18)*0.2)</f>
        <v>0</v>
      </c>
      <c r="R3" s="440">
        <f>SUM($P$15:$P$18)*0.2</f>
        <v>0</v>
      </c>
      <c r="S3" s="440"/>
      <c r="T3" s="440"/>
    </row>
    <row r="4" spans="1:26">
      <c r="B4" s="564"/>
      <c r="C4" s="691"/>
      <c r="E4" s="561">
        <f>SUM(E1:E3)</f>
        <v>288439.5</v>
      </c>
      <c r="F4" s="369"/>
      <c r="G4" s="440"/>
      <c r="H4" s="440"/>
      <c r="I4" s="440"/>
      <c r="K4" s="568"/>
      <c r="L4" s="569"/>
      <c r="M4" s="570"/>
      <c r="O4" s="369"/>
      <c r="P4" s="440"/>
      <c r="T4" s="440"/>
    </row>
    <row r="5" spans="1:26">
      <c r="A5" s="367">
        <v>5</v>
      </c>
      <c r="B5" s="571"/>
      <c r="C5" s="572" t="s">
        <v>24</v>
      </c>
      <c r="D5" s="572" t="s">
        <v>25</v>
      </c>
      <c r="E5" s="573" t="s">
        <v>26</v>
      </c>
      <c r="F5" s="574" t="s">
        <v>11</v>
      </c>
      <c r="G5" s="572" t="s">
        <v>12</v>
      </c>
      <c r="H5" s="575" t="s">
        <v>13</v>
      </c>
      <c r="I5" s="572" t="s">
        <v>14</v>
      </c>
      <c r="J5" s="574" t="s">
        <v>15</v>
      </c>
      <c r="K5" s="576" t="s">
        <v>16</v>
      </c>
      <c r="L5" s="572" t="s">
        <v>17</v>
      </c>
      <c r="M5" s="572" t="s">
        <v>18</v>
      </c>
      <c r="N5" s="577" t="s">
        <v>19</v>
      </c>
      <c r="O5" s="572" t="s">
        <v>20</v>
      </c>
      <c r="P5" s="572" t="s">
        <v>21</v>
      </c>
      <c r="Q5" s="572" t="s">
        <v>22</v>
      </c>
      <c r="R5" s="574" t="s">
        <v>23</v>
      </c>
      <c r="S5" s="578" t="s">
        <v>39</v>
      </c>
      <c r="T5" s="578" t="s">
        <v>37</v>
      </c>
      <c r="U5" s="578" t="s">
        <v>27</v>
      </c>
      <c r="V5" s="578" t="s">
        <v>28</v>
      </c>
      <c r="W5" s="579" t="s">
        <v>144</v>
      </c>
    </row>
    <row r="6" spans="1:26">
      <c r="A6" s="367">
        <v>6</v>
      </c>
      <c r="B6" s="580" t="s">
        <v>10</v>
      </c>
      <c r="C6" s="581">
        <v>32.06</v>
      </c>
      <c r="D6" s="582">
        <v>59.98</v>
      </c>
      <c r="E6" s="583">
        <v>93.12</v>
      </c>
      <c r="F6" s="582">
        <f>SUM(C6:E6)</f>
        <v>185.16</v>
      </c>
      <c r="G6" s="584"/>
      <c r="H6" s="584"/>
      <c r="I6" s="584"/>
      <c r="J6" s="584">
        <f>SUM(G6:I6)</f>
        <v>0</v>
      </c>
      <c r="K6" s="584"/>
      <c r="L6" s="584"/>
      <c r="M6" s="584"/>
      <c r="N6" s="584">
        <f>SUM(K6:M6)</f>
        <v>0</v>
      </c>
      <c r="O6" s="584"/>
      <c r="P6" s="585"/>
      <c r="Q6" s="585"/>
      <c r="R6" s="585">
        <f>SUM(O6:Q6)</f>
        <v>0</v>
      </c>
      <c r="S6" s="586">
        <f>F6</f>
        <v>185.16</v>
      </c>
      <c r="T6" s="586">
        <f>F6+J6</f>
        <v>185.16</v>
      </c>
      <c r="U6" s="586">
        <f>F6+J6+N6</f>
        <v>185.16</v>
      </c>
      <c r="V6" s="586">
        <f>F6+J6+N6+R6</f>
        <v>185.16</v>
      </c>
      <c r="W6" s="587">
        <v>600</v>
      </c>
      <c r="Z6" s="369">
        <v>869.18999999999994</v>
      </c>
    </row>
    <row r="7" spans="1:26">
      <c r="A7" s="367">
        <v>7</v>
      </c>
      <c r="B7" s="580" t="s">
        <v>3</v>
      </c>
      <c r="C7" s="581">
        <f>5850+2850+4400+4070</f>
        <v>17170</v>
      </c>
      <c r="D7" s="588">
        <f>9460+2540+2480+8050</f>
        <v>22530</v>
      </c>
      <c r="E7" s="589">
        <f>5225+3460+3195+5690+4845</f>
        <v>22415</v>
      </c>
      <c r="F7" s="582">
        <f>SUM(C7:E7)</f>
        <v>62115</v>
      </c>
      <c r="G7" s="576"/>
      <c r="H7" s="590"/>
      <c r="I7" s="590"/>
      <c r="J7" s="584">
        <f t="shared" ref="J7:J18" si="0">SUM(G7:I7)</f>
        <v>0</v>
      </c>
      <c r="K7" s="590"/>
      <c r="L7" s="585"/>
      <c r="M7" s="585"/>
      <c r="N7" s="584">
        <f t="shared" ref="N7:N17" si="1">SUM(K7:M7)</f>
        <v>0</v>
      </c>
      <c r="O7" s="585"/>
      <c r="P7" s="585"/>
      <c r="Q7" s="585"/>
      <c r="R7" s="585">
        <f t="shared" ref="R7:R17" si="2">SUM(O7:Q7)</f>
        <v>0</v>
      </c>
      <c r="S7" s="586">
        <f t="shared" ref="S7:S17" si="3">F7</f>
        <v>62115</v>
      </c>
      <c r="T7" s="586">
        <f t="shared" ref="T7:T17" si="4">F7+J7</f>
        <v>62115</v>
      </c>
      <c r="U7" s="586">
        <f t="shared" ref="U7:U17" si="5">F7+J7+N7</f>
        <v>62115</v>
      </c>
      <c r="V7" s="586">
        <f t="shared" ref="V7:V17" si="6">F7+J7+N7+R7</f>
        <v>62115</v>
      </c>
      <c r="W7" s="587">
        <v>150000</v>
      </c>
      <c r="Z7" s="369">
        <v>128265</v>
      </c>
    </row>
    <row r="8" spans="1:26">
      <c r="A8" s="367">
        <v>8</v>
      </c>
      <c r="B8" s="580" t="s">
        <v>42</v>
      </c>
      <c r="C8" s="581">
        <f>3000+5000</f>
        <v>8000</v>
      </c>
      <c r="D8" s="588">
        <f>4000+(2600*8)+5000</f>
        <v>29800</v>
      </c>
      <c r="E8" s="591">
        <f>5000</f>
        <v>5000</v>
      </c>
      <c r="F8" s="582">
        <f t="shared" ref="F8:F18" si="7">SUM(C8:E8)</f>
        <v>42800</v>
      </c>
      <c r="G8" s="576"/>
      <c r="H8" s="590"/>
      <c r="I8" s="590"/>
      <c r="J8" s="584">
        <f t="shared" si="0"/>
        <v>0</v>
      </c>
      <c r="K8" s="590"/>
      <c r="L8" s="585"/>
      <c r="M8" s="585"/>
      <c r="N8" s="584">
        <f t="shared" si="1"/>
        <v>0</v>
      </c>
      <c r="O8" s="585"/>
      <c r="P8" s="585"/>
      <c r="Q8" s="585"/>
      <c r="R8" s="585">
        <f t="shared" si="2"/>
        <v>0</v>
      </c>
      <c r="S8" s="586">
        <f t="shared" si="3"/>
        <v>42800</v>
      </c>
      <c r="T8" s="586">
        <f t="shared" si="4"/>
        <v>42800</v>
      </c>
      <c r="U8" s="586">
        <f t="shared" si="5"/>
        <v>42800</v>
      </c>
      <c r="V8" s="586">
        <f t="shared" si="6"/>
        <v>42800</v>
      </c>
      <c r="W8" s="587">
        <v>2000000</v>
      </c>
      <c r="Z8" s="369">
        <v>1076206.57</v>
      </c>
    </row>
    <row r="9" spans="1:26">
      <c r="A9" s="367">
        <v>9</v>
      </c>
      <c r="B9" s="580" t="s">
        <v>166</v>
      </c>
      <c r="C9" s="581"/>
      <c r="D9" s="588">
        <f>200000+65000+100000+10000</f>
        <v>375000</v>
      </c>
      <c r="E9" s="591">
        <f>33000+10000</f>
        <v>43000</v>
      </c>
      <c r="F9" s="582">
        <f t="shared" si="7"/>
        <v>418000</v>
      </c>
      <c r="G9" s="576"/>
      <c r="H9" s="590"/>
      <c r="I9" s="590"/>
      <c r="J9" s="584">
        <f t="shared" si="0"/>
        <v>0</v>
      </c>
      <c r="K9" s="590"/>
      <c r="L9" s="585"/>
      <c r="M9" s="585"/>
      <c r="N9" s="584">
        <f t="shared" si="1"/>
        <v>0</v>
      </c>
      <c r="O9" s="585"/>
      <c r="P9" s="585"/>
      <c r="Q9" s="585"/>
      <c r="R9" s="585">
        <f t="shared" si="2"/>
        <v>0</v>
      </c>
      <c r="S9" s="586">
        <f t="shared" si="3"/>
        <v>418000</v>
      </c>
      <c r="T9" s="586">
        <f t="shared" si="4"/>
        <v>418000</v>
      </c>
      <c r="U9" s="586">
        <f t="shared" si="5"/>
        <v>418000</v>
      </c>
      <c r="V9" s="586">
        <f t="shared" si="6"/>
        <v>418000</v>
      </c>
      <c r="W9" s="587">
        <v>100000</v>
      </c>
      <c r="Z9" s="369">
        <v>138000</v>
      </c>
    </row>
    <row r="10" spans="1:26" s="593" customFormat="1">
      <c r="A10" s="367">
        <v>10</v>
      </c>
      <c r="B10" s="580" t="s">
        <v>110</v>
      </c>
      <c r="C10" s="588"/>
      <c r="D10" s="588"/>
      <c r="E10" s="591"/>
      <c r="F10" s="582">
        <f t="shared" si="7"/>
        <v>0</v>
      </c>
      <c r="G10" s="577"/>
      <c r="H10" s="590"/>
      <c r="I10" s="590"/>
      <c r="J10" s="584">
        <f t="shared" si="0"/>
        <v>0</v>
      </c>
      <c r="K10" s="590"/>
      <c r="L10" s="585"/>
      <c r="M10" s="585"/>
      <c r="N10" s="584">
        <f>SUM(K10:M10)</f>
        <v>0</v>
      </c>
      <c r="O10" s="585"/>
      <c r="P10" s="585"/>
      <c r="Q10" s="585"/>
      <c r="R10" s="585">
        <f t="shared" si="2"/>
        <v>0</v>
      </c>
      <c r="S10" s="586">
        <f t="shared" si="3"/>
        <v>0</v>
      </c>
      <c r="T10" s="586">
        <f t="shared" si="4"/>
        <v>0</v>
      </c>
      <c r="U10" s="586">
        <f t="shared" si="5"/>
        <v>0</v>
      </c>
      <c r="V10" s="586">
        <f t="shared" si="6"/>
        <v>0</v>
      </c>
      <c r="W10" s="592"/>
      <c r="Z10" s="567">
        <v>0</v>
      </c>
    </row>
    <row r="11" spans="1:26">
      <c r="A11" s="367">
        <v>11</v>
      </c>
      <c r="B11" s="580" t="s">
        <v>129</v>
      </c>
      <c r="C11" s="581"/>
      <c r="D11" s="588"/>
      <c r="E11" s="591"/>
      <c r="F11" s="582">
        <f t="shared" si="7"/>
        <v>0</v>
      </c>
      <c r="G11" s="576"/>
      <c r="H11" s="590"/>
      <c r="I11" s="590"/>
      <c r="J11" s="584">
        <f t="shared" si="0"/>
        <v>0</v>
      </c>
      <c r="K11" s="590"/>
      <c r="L11" s="585"/>
      <c r="M11" s="585"/>
      <c r="N11" s="584">
        <f t="shared" si="1"/>
        <v>0</v>
      </c>
      <c r="O11" s="585"/>
      <c r="P11" s="585"/>
      <c r="Q11" s="585"/>
      <c r="R11" s="585">
        <f t="shared" si="2"/>
        <v>0</v>
      </c>
      <c r="S11" s="586">
        <f t="shared" si="3"/>
        <v>0</v>
      </c>
      <c r="T11" s="586">
        <f t="shared" si="4"/>
        <v>0</v>
      </c>
      <c r="U11" s="586">
        <f t="shared" si="5"/>
        <v>0</v>
      </c>
      <c r="V11" s="586">
        <f t="shared" si="6"/>
        <v>0</v>
      </c>
      <c r="W11" s="587"/>
      <c r="Z11" s="369">
        <v>0</v>
      </c>
    </row>
    <row r="12" spans="1:26">
      <c r="A12" s="367">
        <v>12</v>
      </c>
      <c r="B12" s="580" t="s">
        <v>128</v>
      </c>
      <c r="C12" s="581"/>
      <c r="D12" s="588">
        <v>100000</v>
      </c>
      <c r="E12" s="591"/>
      <c r="F12" s="582">
        <f t="shared" si="7"/>
        <v>100000</v>
      </c>
      <c r="G12" s="576"/>
      <c r="H12" s="590"/>
      <c r="I12" s="590"/>
      <c r="J12" s="584">
        <f t="shared" si="0"/>
        <v>0</v>
      </c>
      <c r="K12" s="590"/>
      <c r="L12" s="585"/>
      <c r="M12" s="585"/>
      <c r="N12" s="584">
        <f t="shared" si="1"/>
        <v>0</v>
      </c>
      <c r="O12" s="585"/>
      <c r="P12" s="585"/>
      <c r="Q12" s="585"/>
      <c r="R12" s="585">
        <f>SUM(O12:Q12)</f>
        <v>0</v>
      </c>
      <c r="S12" s="586">
        <f>F12</f>
        <v>100000</v>
      </c>
      <c r="T12" s="586">
        <f>F12+J12</f>
        <v>100000</v>
      </c>
      <c r="U12" s="586">
        <f>F12+J12+N12</f>
        <v>100000</v>
      </c>
      <c r="V12" s="586">
        <f>F12+J12+N12+R12</f>
        <v>100000</v>
      </c>
      <c r="W12" s="587">
        <v>300000</v>
      </c>
      <c r="Z12" s="369">
        <v>0</v>
      </c>
    </row>
    <row r="13" spans="1:26">
      <c r="A13" s="367">
        <v>13</v>
      </c>
      <c r="B13" s="580" t="s">
        <v>194</v>
      </c>
      <c r="C13" s="581"/>
      <c r="D13" s="588"/>
      <c r="E13" s="591"/>
      <c r="F13" s="582"/>
      <c r="G13" s="576"/>
      <c r="H13" s="590"/>
      <c r="I13" s="590"/>
      <c r="J13" s="584"/>
      <c r="K13" s="590"/>
      <c r="L13" s="585"/>
      <c r="M13" s="585"/>
      <c r="N13" s="584"/>
      <c r="O13" s="585"/>
      <c r="P13" s="585"/>
      <c r="Q13" s="585"/>
      <c r="R13" s="585">
        <f>SUM(O13:Q13)</f>
        <v>0</v>
      </c>
      <c r="S13" s="586">
        <f>F13</f>
        <v>0</v>
      </c>
      <c r="T13" s="586">
        <f>F13+J13</f>
        <v>0</v>
      </c>
      <c r="U13" s="586">
        <f>F13+J13+N13</f>
        <v>0</v>
      </c>
      <c r="V13" s="586">
        <f>F13+J13+N13+R13</f>
        <v>0</v>
      </c>
      <c r="W13" s="587"/>
      <c r="Z13" s="369"/>
    </row>
    <row r="14" spans="1:26">
      <c r="A14" s="367">
        <v>14</v>
      </c>
      <c r="B14" s="580" t="s">
        <v>164</v>
      </c>
      <c r="C14" s="588"/>
      <c r="D14" s="588"/>
      <c r="E14" s="591"/>
      <c r="F14" s="582">
        <f t="shared" si="7"/>
        <v>0</v>
      </c>
      <c r="G14" s="576"/>
      <c r="H14" s="590"/>
      <c r="I14" s="590"/>
      <c r="J14" s="584">
        <f t="shared" si="0"/>
        <v>0</v>
      </c>
      <c r="K14" s="590"/>
      <c r="L14" s="585"/>
      <c r="M14" s="585"/>
      <c r="N14" s="584">
        <f t="shared" si="1"/>
        <v>0</v>
      </c>
      <c r="O14" s="585"/>
      <c r="P14" s="594"/>
      <c r="Q14" s="585"/>
      <c r="R14" s="585">
        <f t="shared" si="2"/>
        <v>0</v>
      </c>
      <c r="S14" s="586">
        <f t="shared" si="3"/>
        <v>0</v>
      </c>
      <c r="T14" s="586">
        <f t="shared" si="4"/>
        <v>0</v>
      </c>
      <c r="U14" s="586">
        <f t="shared" si="5"/>
        <v>0</v>
      </c>
      <c r="V14" s="586">
        <f t="shared" si="6"/>
        <v>0</v>
      </c>
      <c r="W14" s="587">
        <v>50000</v>
      </c>
      <c r="Z14" s="369">
        <v>10685</v>
      </c>
    </row>
    <row r="15" spans="1:26">
      <c r="A15" s="367">
        <v>15</v>
      </c>
      <c r="B15" s="580" t="s">
        <v>8</v>
      </c>
      <c r="C15" s="581">
        <f>27105+23090+21365+19835+20660</f>
        <v>112055</v>
      </c>
      <c r="D15" s="588">
        <f>21430+18325+18520+23355</f>
        <v>81630</v>
      </c>
      <c r="E15" s="591">
        <f>18965+19585+19260+17840</f>
        <v>75650</v>
      </c>
      <c r="F15" s="582">
        <f t="shared" si="7"/>
        <v>269335</v>
      </c>
      <c r="G15" s="576"/>
      <c r="H15" s="590"/>
      <c r="I15" s="590"/>
      <c r="J15" s="584">
        <f t="shared" si="0"/>
        <v>0</v>
      </c>
      <c r="K15" s="590"/>
      <c r="L15" s="585"/>
      <c r="M15" s="585"/>
      <c r="N15" s="584">
        <f t="shared" si="1"/>
        <v>0</v>
      </c>
      <c r="O15" s="585"/>
      <c r="P15" s="585"/>
      <c r="Q15" s="585"/>
      <c r="R15" s="585">
        <f>SUM(O15:Q15)</f>
        <v>0</v>
      </c>
      <c r="S15" s="586">
        <f>F15</f>
        <v>269335</v>
      </c>
      <c r="T15" s="586">
        <f>F15+J15</f>
        <v>269335</v>
      </c>
      <c r="U15" s="586">
        <f>F15+J15+N15</f>
        <v>269335</v>
      </c>
      <c r="V15" s="586">
        <f>F15+J15+N15+R15</f>
        <v>269335</v>
      </c>
      <c r="W15" s="587">
        <v>1000000</v>
      </c>
      <c r="Z15" s="369">
        <v>965885</v>
      </c>
    </row>
    <row r="16" spans="1:26">
      <c r="A16" s="367">
        <v>16</v>
      </c>
      <c r="B16" s="580" t="s">
        <v>38</v>
      </c>
      <c r="C16" s="581">
        <f>5580+4740+4470+4330+4350</f>
        <v>23470</v>
      </c>
      <c r="D16" s="588">
        <f>5840+5140+3510+5075</f>
        <v>19565</v>
      </c>
      <c r="E16" s="591">
        <f>4610+4925+4400+3395</f>
        <v>17330</v>
      </c>
      <c r="F16" s="582">
        <f t="shared" si="7"/>
        <v>60365</v>
      </c>
      <c r="G16" s="576"/>
      <c r="H16" s="590"/>
      <c r="I16" s="590"/>
      <c r="J16" s="584">
        <f t="shared" si="0"/>
        <v>0</v>
      </c>
      <c r="K16" s="590"/>
      <c r="L16" s="585"/>
      <c r="M16" s="585"/>
      <c r="N16" s="584">
        <f>SUM(K16:M16)</f>
        <v>0</v>
      </c>
      <c r="O16" s="585"/>
      <c r="P16" s="585"/>
      <c r="Q16" s="585"/>
      <c r="R16" s="585">
        <f>SUM(O16:Q16)</f>
        <v>0</v>
      </c>
      <c r="S16" s="586">
        <f>F16</f>
        <v>60365</v>
      </c>
      <c r="T16" s="586">
        <f>F16+J16</f>
        <v>60365</v>
      </c>
      <c r="U16" s="586">
        <f>F16+J16+N16</f>
        <v>60365</v>
      </c>
      <c r="V16" s="586">
        <f>F16+J16+N16+R16</f>
        <v>60365</v>
      </c>
      <c r="W16" s="587">
        <v>170000</v>
      </c>
      <c r="Z16" s="369">
        <v>160480</v>
      </c>
    </row>
    <row r="17" spans="1:26">
      <c r="A17" s="367">
        <v>17</v>
      </c>
      <c r="B17" s="580" t="s">
        <v>9</v>
      </c>
      <c r="C17" s="581">
        <f>29890+3200+18000</f>
        <v>51090</v>
      </c>
      <c r="D17" s="588">
        <f>4000+5300+3270+4460</f>
        <v>17030</v>
      </c>
      <c r="E17" s="591">
        <f>22000+35510</f>
        <v>57510</v>
      </c>
      <c r="F17" s="582">
        <f t="shared" si="7"/>
        <v>125630</v>
      </c>
      <c r="G17" s="576"/>
      <c r="H17" s="590"/>
      <c r="I17" s="590"/>
      <c r="J17" s="584">
        <f t="shared" si="0"/>
        <v>0</v>
      </c>
      <c r="K17" s="590"/>
      <c r="L17" s="585"/>
      <c r="M17" s="585"/>
      <c r="N17" s="584">
        <f t="shared" si="1"/>
        <v>0</v>
      </c>
      <c r="O17" s="585"/>
      <c r="P17" s="585"/>
      <c r="Q17" s="585"/>
      <c r="R17" s="585">
        <f t="shared" si="2"/>
        <v>0</v>
      </c>
      <c r="S17" s="586">
        <f t="shared" si="3"/>
        <v>125630</v>
      </c>
      <c r="T17" s="586">
        <f t="shared" si="4"/>
        <v>125630</v>
      </c>
      <c r="U17" s="586">
        <f t="shared" si="5"/>
        <v>125630</v>
      </c>
      <c r="V17" s="586">
        <f t="shared" si="6"/>
        <v>125630</v>
      </c>
      <c r="W17" s="587">
        <v>400000</v>
      </c>
      <c r="Z17" s="369">
        <v>446265</v>
      </c>
    </row>
    <row r="18" spans="1:26">
      <c r="A18" s="367">
        <v>18</v>
      </c>
      <c r="B18" s="580" t="s">
        <v>7</v>
      </c>
      <c r="C18" s="581">
        <f>13000+60650+46300+6850+15350+103150+10000+6000+4500+7000+3000+2300+2000+7000+6070+8500+14000+2000+30000+25000+12500</f>
        <v>385170</v>
      </c>
      <c r="D18" s="588">
        <f>51620+32300+25300+70500+69900+24000+130802+10000+15000+45000+5000+25000+4000+8400+11000+2000+9000+1500+1000+5700+14000+100000+33000+10000+1000</f>
        <v>705022</v>
      </c>
      <c r="E18" s="591">
        <f>31150+34500+27000+47450+33000+5000+46000+250000+8000+25000+4000+15000+200+5000+2000+3000+1000+13000+35000+192175+33500</f>
        <v>810975</v>
      </c>
      <c r="F18" s="582">
        <f t="shared" si="7"/>
        <v>1901167</v>
      </c>
      <c r="G18" s="576">
        <f>46000+12000+20000+12500+8000+4000+3000+1500+1000+2000+2000+1000+22600+14000+5800+8000+7000+2700+198672+11000+4200+10000+58050+45500+16350+10850+5000+15000+25000</f>
        <v>572722</v>
      </c>
      <c r="H18" s="590"/>
      <c r="I18" s="590"/>
      <c r="J18" s="584">
        <f t="shared" si="0"/>
        <v>572722</v>
      </c>
      <c r="K18" s="590"/>
      <c r="L18" s="585"/>
      <c r="M18" s="585"/>
      <c r="N18" s="584">
        <f>SUM(K18:M18)</f>
        <v>0</v>
      </c>
      <c r="O18" s="585"/>
      <c r="P18" s="585"/>
      <c r="Q18" s="585"/>
      <c r="R18" s="585">
        <f>SUM(O18:Q18)</f>
        <v>0</v>
      </c>
      <c r="S18" s="586">
        <f>F18</f>
        <v>1901167</v>
      </c>
      <c r="T18" s="586">
        <f>F18+J18</f>
        <v>2473889</v>
      </c>
      <c r="U18" s="586">
        <f>F18+J18+N18</f>
        <v>2473889</v>
      </c>
      <c r="V18" s="586">
        <f>F18+J18+N18+R18</f>
        <v>2473889</v>
      </c>
      <c r="W18" s="587">
        <v>6500000</v>
      </c>
      <c r="Z18" s="369">
        <v>5912447</v>
      </c>
    </row>
    <row r="19" spans="1:26">
      <c r="A19" s="367">
        <v>19</v>
      </c>
      <c r="B19" s="595" t="s">
        <v>112</v>
      </c>
      <c r="C19" s="596">
        <f t="shared" ref="C19:I19" si="8">SUM(C6:C18)</f>
        <v>596987.06000000006</v>
      </c>
      <c r="D19" s="596">
        <f t="shared" si="8"/>
        <v>1350636.98</v>
      </c>
      <c r="E19" s="597">
        <f t="shared" si="8"/>
        <v>1031973.12</v>
      </c>
      <c r="F19" s="596">
        <f t="shared" si="8"/>
        <v>2979597.16</v>
      </c>
      <c r="G19" s="596">
        <f t="shared" si="8"/>
        <v>572722</v>
      </c>
      <c r="H19" s="596">
        <f t="shared" si="8"/>
        <v>0</v>
      </c>
      <c r="I19" s="596">
        <f t="shared" si="8"/>
        <v>0</v>
      </c>
      <c r="J19" s="596">
        <f t="shared" ref="J19:V19" si="9">SUM(J6:J18)</f>
        <v>572722</v>
      </c>
      <c r="K19" s="598">
        <f t="shared" si="9"/>
        <v>0</v>
      </c>
      <c r="L19" s="596">
        <f t="shared" si="9"/>
        <v>0</v>
      </c>
      <c r="M19" s="596">
        <f>SUM(M6:M18)</f>
        <v>0</v>
      </c>
      <c r="N19" s="596">
        <f t="shared" si="9"/>
        <v>0</v>
      </c>
      <c r="O19" s="596">
        <f t="shared" si="9"/>
        <v>0</v>
      </c>
      <c r="P19" s="596">
        <f t="shared" si="9"/>
        <v>0</v>
      </c>
      <c r="Q19" s="596">
        <f t="shared" si="9"/>
        <v>0</v>
      </c>
      <c r="R19" s="596">
        <f t="shared" si="9"/>
        <v>0</v>
      </c>
      <c r="S19" s="599">
        <f>SUM(S6:S18)</f>
        <v>2979597.16</v>
      </c>
      <c r="T19" s="599">
        <f>SUM(T6:T18)</f>
        <v>3552319.16</v>
      </c>
      <c r="U19" s="599">
        <f>SUM(U6:U18)</f>
        <v>3552319.16</v>
      </c>
      <c r="V19" s="599">
        <f t="shared" si="9"/>
        <v>3552319.16</v>
      </c>
      <c r="W19" s="600">
        <f>SUM(W6:W18)</f>
        <v>10670600</v>
      </c>
      <c r="Z19" s="369">
        <v>8839102.7599999998</v>
      </c>
    </row>
    <row r="20" spans="1:26" ht="31.5">
      <c r="A20" s="367">
        <v>20</v>
      </c>
      <c r="B20" s="601" t="s">
        <v>75</v>
      </c>
      <c r="C20" s="602">
        <f>286762.07</f>
        <v>286762.07</v>
      </c>
      <c r="D20" s="603">
        <f>C100+C101+C102</f>
        <v>212211.90999999992</v>
      </c>
      <c r="E20" s="604">
        <f>D100+D101+D102</f>
        <v>507105.44999999995</v>
      </c>
      <c r="F20" s="605">
        <f>C20</f>
        <v>286762.07</v>
      </c>
      <c r="G20" s="606">
        <f>E100+E101+E102</f>
        <v>105249.60999999999</v>
      </c>
      <c r="H20" s="606">
        <f>G100+G101+G102</f>
        <v>0</v>
      </c>
      <c r="I20" s="606">
        <f>H100+H101+H102</f>
        <v>0</v>
      </c>
      <c r="J20" s="606">
        <f>G20</f>
        <v>105249.60999999999</v>
      </c>
      <c r="K20" s="606">
        <f>J100+J101+J102</f>
        <v>0</v>
      </c>
      <c r="L20" s="606">
        <f>K100+K101+K102</f>
        <v>0</v>
      </c>
      <c r="M20" s="606">
        <f>L100+L101+L102</f>
        <v>0</v>
      </c>
      <c r="N20" s="607">
        <f>K20</f>
        <v>0</v>
      </c>
      <c r="O20" s="606">
        <f>N100+N101+N102</f>
        <v>0</v>
      </c>
      <c r="P20" s="606">
        <f>O100+O101+O102</f>
        <v>0</v>
      </c>
      <c r="Q20" s="606">
        <f>P100+P101+P102</f>
        <v>0</v>
      </c>
      <c r="R20" s="607">
        <f>O20</f>
        <v>0</v>
      </c>
      <c r="S20" s="608">
        <f>$C$20</f>
        <v>286762.07</v>
      </c>
      <c r="T20" s="608">
        <f>$C$20</f>
        <v>286762.07</v>
      </c>
      <c r="U20" s="608">
        <f>$C$20</f>
        <v>286762.07</v>
      </c>
      <c r="V20" s="608">
        <f>$C$20</f>
        <v>286762.07</v>
      </c>
      <c r="W20" s="602">
        <f>286762.07</f>
        <v>286762.07</v>
      </c>
      <c r="Z20" s="369">
        <v>156556.89999999997</v>
      </c>
    </row>
    <row r="21" spans="1:26">
      <c r="A21" s="367">
        <v>21</v>
      </c>
      <c r="B21" s="580" t="s">
        <v>72</v>
      </c>
      <c r="C21" s="572">
        <v>16787.310000000001</v>
      </c>
      <c r="D21" s="603">
        <f>C103</f>
        <v>33911.160000000003</v>
      </c>
      <c r="E21" s="604">
        <f>D103</f>
        <v>56463.14</v>
      </c>
      <c r="F21" s="609">
        <f>C21</f>
        <v>16787.310000000001</v>
      </c>
      <c r="G21" s="606">
        <f>E103</f>
        <v>58905.95</v>
      </c>
      <c r="H21" s="606">
        <f>G103</f>
        <v>0</v>
      </c>
      <c r="I21" s="606">
        <f>H103</f>
        <v>0</v>
      </c>
      <c r="J21" s="606">
        <f>G21</f>
        <v>58905.95</v>
      </c>
      <c r="K21" s="606">
        <f>J103</f>
        <v>0</v>
      </c>
      <c r="L21" s="606">
        <f>K103</f>
        <v>0</v>
      </c>
      <c r="M21" s="606">
        <f>L103</f>
        <v>0</v>
      </c>
      <c r="N21" s="607">
        <f>K21</f>
        <v>0</v>
      </c>
      <c r="O21" s="606">
        <f>N103</f>
        <v>0</v>
      </c>
      <c r="P21" s="606">
        <f>O103</f>
        <v>0</v>
      </c>
      <c r="Q21" s="606">
        <f>P103</f>
        <v>0</v>
      </c>
      <c r="R21" s="607">
        <f>O21</f>
        <v>0</v>
      </c>
      <c r="S21" s="608">
        <f>$C$21</f>
        <v>16787.310000000001</v>
      </c>
      <c r="T21" s="608">
        <f>$C$21</f>
        <v>16787.310000000001</v>
      </c>
      <c r="U21" s="608">
        <f>$C$21</f>
        <v>16787.310000000001</v>
      </c>
      <c r="V21" s="608">
        <f>$C$21</f>
        <v>16787.310000000001</v>
      </c>
      <c r="W21" s="572">
        <v>16787.310000000001</v>
      </c>
      <c r="Z21" s="369">
        <v>39888.36</v>
      </c>
    </row>
    <row r="22" spans="1:26">
      <c r="A22" s="367">
        <v>22</v>
      </c>
      <c r="B22" s="580" t="s">
        <v>73</v>
      </c>
      <c r="C22" s="572">
        <v>1513424.07</v>
      </c>
      <c r="D22" s="603">
        <f>C104+C105+C106</f>
        <v>1084216.07</v>
      </c>
      <c r="E22" s="604">
        <f>D104+D105+D106</f>
        <v>588379.68999999994</v>
      </c>
      <c r="F22" s="609">
        <f>C22</f>
        <v>1513424.07</v>
      </c>
      <c r="G22" s="606">
        <f>E104+E105+E106</f>
        <v>185568.19</v>
      </c>
      <c r="H22" s="606">
        <f>G104+G105+G106</f>
        <v>0</v>
      </c>
      <c r="I22" s="606">
        <f>H104+H105+H106</f>
        <v>0</v>
      </c>
      <c r="J22" s="606">
        <f>F104+F105+F106</f>
        <v>185568.19</v>
      </c>
      <c r="K22" s="606">
        <f>J104+J105+J106</f>
        <v>0</v>
      </c>
      <c r="L22" s="606">
        <f>K104+K105+K106</f>
        <v>0</v>
      </c>
      <c r="M22" s="606">
        <f>L104+L105+L106</f>
        <v>0</v>
      </c>
      <c r="N22" s="607">
        <f>K22</f>
        <v>0</v>
      </c>
      <c r="O22" s="606">
        <f>N104+N105+N106</f>
        <v>0</v>
      </c>
      <c r="P22" s="606">
        <f>O104+O105+O106</f>
        <v>0</v>
      </c>
      <c r="Q22" s="606">
        <f>P104+P105+P106</f>
        <v>0</v>
      </c>
      <c r="R22" s="607">
        <f>O22</f>
        <v>0</v>
      </c>
      <c r="S22" s="608">
        <f>$C$22</f>
        <v>1513424.07</v>
      </c>
      <c r="T22" s="608">
        <f>$C$22</f>
        <v>1513424.07</v>
      </c>
      <c r="U22" s="608">
        <f>$C$22</f>
        <v>1513424.07</v>
      </c>
      <c r="V22" s="608">
        <f>$C$22</f>
        <v>1513424.07</v>
      </c>
      <c r="W22" s="572">
        <v>1513424.07</v>
      </c>
      <c r="Z22" s="369">
        <v>531235.5</v>
      </c>
    </row>
    <row r="23" spans="1:26">
      <c r="A23" s="367">
        <v>23</v>
      </c>
      <c r="B23" s="580" t="s">
        <v>124</v>
      </c>
      <c r="C23" s="572">
        <v>3000</v>
      </c>
      <c r="D23" s="603">
        <f>C107</f>
        <v>5500</v>
      </c>
      <c r="E23" s="604">
        <f>D107</f>
        <v>1000</v>
      </c>
      <c r="F23" s="609">
        <f>C23</f>
        <v>3000</v>
      </c>
      <c r="G23" s="606">
        <f>E107</f>
        <v>1000</v>
      </c>
      <c r="H23" s="606">
        <f>G107</f>
        <v>0</v>
      </c>
      <c r="I23" s="606">
        <f>H107</f>
        <v>0</v>
      </c>
      <c r="J23" s="606">
        <f>F107</f>
        <v>1000</v>
      </c>
      <c r="K23" s="606">
        <f>J107</f>
        <v>0</v>
      </c>
      <c r="L23" s="606">
        <f>K107</f>
        <v>0</v>
      </c>
      <c r="M23" s="606">
        <f>L107</f>
        <v>0</v>
      </c>
      <c r="N23" s="607">
        <f>K23</f>
        <v>0</v>
      </c>
      <c r="O23" s="606">
        <f>N107</f>
        <v>0</v>
      </c>
      <c r="P23" s="606">
        <f>O107</f>
        <v>0</v>
      </c>
      <c r="Q23" s="606">
        <f>P107</f>
        <v>0</v>
      </c>
      <c r="R23" s="607">
        <f>O23</f>
        <v>0</v>
      </c>
      <c r="S23" s="608">
        <f>$C$23</f>
        <v>3000</v>
      </c>
      <c r="T23" s="608">
        <f>$C$23</f>
        <v>3000</v>
      </c>
      <c r="U23" s="608">
        <f>$C$23</f>
        <v>3000</v>
      </c>
      <c r="V23" s="608">
        <f>$C$23</f>
        <v>3000</v>
      </c>
      <c r="W23" s="572">
        <v>3000</v>
      </c>
      <c r="Z23" s="369">
        <v>4190</v>
      </c>
    </row>
    <row r="24" spans="1:26">
      <c r="A24" s="367">
        <v>24</v>
      </c>
      <c r="B24" s="580" t="s">
        <v>219</v>
      </c>
      <c r="C24" s="588">
        <f>SUM(C20:C23)</f>
        <v>1819973.4500000002</v>
      </c>
      <c r="D24" s="588">
        <f>SUM(D20:D23)</f>
        <v>1335839.1399999999</v>
      </c>
      <c r="E24" s="610">
        <f>SUM(E20:E23)</f>
        <v>1152948.2799999998</v>
      </c>
      <c r="F24" s="582">
        <f t="shared" ref="F24:R24" si="10">SUM(F20:F23)</f>
        <v>1819973.4500000002</v>
      </c>
      <c r="G24" s="611">
        <f t="shared" si="10"/>
        <v>350723.75</v>
      </c>
      <c r="H24" s="582">
        <f t="shared" si="10"/>
        <v>0</v>
      </c>
      <c r="I24" s="582">
        <f t="shared" si="10"/>
        <v>0</v>
      </c>
      <c r="J24" s="582">
        <f>SUM(J20:J23)</f>
        <v>350723.75</v>
      </c>
      <c r="K24" s="611">
        <f t="shared" si="10"/>
        <v>0</v>
      </c>
      <c r="L24" s="582">
        <f t="shared" si="10"/>
        <v>0</v>
      </c>
      <c r="M24" s="582">
        <f>SUM(M20:M23)</f>
        <v>0</v>
      </c>
      <c r="N24" s="584">
        <f t="shared" si="10"/>
        <v>0</v>
      </c>
      <c r="O24" s="584">
        <f>SUM(O20:O23)</f>
        <v>0</v>
      </c>
      <c r="P24" s="585">
        <f>SUM(P20:P23)</f>
        <v>0</v>
      </c>
      <c r="Q24" s="585">
        <f>SUM(Q20:Q23)</f>
        <v>0</v>
      </c>
      <c r="R24" s="585">
        <f t="shared" si="10"/>
        <v>0</v>
      </c>
      <c r="S24" s="608">
        <f>$C$24</f>
        <v>1819973.4500000002</v>
      </c>
      <c r="T24" s="608">
        <f>$C$24</f>
        <v>1819973.4500000002</v>
      </c>
      <c r="U24" s="608">
        <f>$C$24</f>
        <v>1819973.4500000002</v>
      </c>
      <c r="V24" s="608">
        <f>$C$24</f>
        <v>1819973.4500000002</v>
      </c>
      <c r="W24" s="612">
        <f>SUM(W20:W23)</f>
        <v>1819973.4500000002</v>
      </c>
      <c r="Z24" s="369">
        <v>731870.76</v>
      </c>
    </row>
    <row r="25" spans="1:26">
      <c r="A25" s="367">
        <v>25</v>
      </c>
      <c r="B25" s="613" t="s">
        <v>108</v>
      </c>
      <c r="C25" s="614">
        <f t="shared" ref="C25:U25" si="11">SUM(C19:C23)</f>
        <v>2416960.5100000002</v>
      </c>
      <c r="D25" s="614">
        <f t="shared" si="11"/>
        <v>2686476.12</v>
      </c>
      <c r="E25" s="615">
        <f t="shared" si="11"/>
        <v>2184921.3999999994</v>
      </c>
      <c r="F25" s="614">
        <f>SUM(F19:F23)</f>
        <v>4799570.6100000003</v>
      </c>
      <c r="G25" s="616">
        <f t="shared" si="11"/>
        <v>923445.75</v>
      </c>
      <c r="H25" s="614">
        <f t="shared" si="11"/>
        <v>0</v>
      </c>
      <c r="I25" s="614">
        <f t="shared" si="11"/>
        <v>0</v>
      </c>
      <c r="J25" s="614">
        <f t="shared" si="11"/>
        <v>923445.75</v>
      </c>
      <c r="K25" s="616">
        <f t="shared" si="11"/>
        <v>0</v>
      </c>
      <c r="L25" s="614">
        <f t="shared" si="11"/>
        <v>0</v>
      </c>
      <c r="M25" s="614">
        <f>SUM(M19:M23)</f>
        <v>0</v>
      </c>
      <c r="N25" s="614">
        <f t="shared" si="11"/>
        <v>0</v>
      </c>
      <c r="O25" s="614">
        <f t="shared" si="11"/>
        <v>0</v>
      </c>
      <c r="P25" s="614">
        <f t="shared" si="11"/>
        <v>0</v>
      </c>
      <c r="Q25" s="614">
        <f t="shared" si="11"/>
        <v>0</v>
      </c>
      <c r="R25" s="614">
        <f t="shared" si="11"/>
        <v>0</v>
      </c>
      <c r="S25" s="599">
        <f t="shared" si="11"/>
        <v>4799570.6100000003</v>
      </c>
      <c r="T25" s="599">
        <f t="shared" si="11"/>
        <v>5372292.6100000003</v>
      </c>
      <c r="U25" s="599">
        <f t="shared" si="11"/>
        <v>5372292.6100000003</v>
      </c>
      <c r="V25" s="599">
        <f>SUM(V19:V23)</f>
        <v>5372292.6100000003</v>
      </c>
      <c r="W25" s="614">
        <f>SUM(W19:W23)</f>
        <v>12490573.450000001</v>
      </c>
      <c r="Z25" s="369">
        <v>9570973.5199999996</v>
      </c>
    </row>
    <row r="26" spans="1:26" s="593" customFormat="1">
      <c r="A26" s="367">
        <v>26</v>
      </c>
      <c r="B26" s="613" t="s">
        <v>88</v>
      </c>
      <c r="C26" s="588"/>
      <c r="D26" s="588"/>
      <c r="E26" s="610"/>
      <c r="F26" s="588"/>
      <c r="G26" s="588"/>
      <c r="H26" s="588"/>
      <c r="I26" s="588"/>
      <c r="J26" s="588"/>
      <c r="K26" s="590"/>
      <c r="L26" s="617"/>
      <c r="M26" s="618"/>
      <c r="N26" s="585"/>
      <c r="O26" s="585"/>
      <c r="P26" s="585"/>
      <c r="Q26" s="585"/>
      <c r="R26" s="585"/>
      <c r="S26" s="586"/>
      <c r="T26" s="586"/>
      <c r="U26" s="586"/>
      <c r="V26" s="619"/>
      <c r="W26" s="592"/>
      <c r="Z26" s="567"/>
    </row>
    <row r="27" spans="1:26">
      <c r="A27" s="367">
        <v>27</v>
      </c>
      <c r="B27" s="620" t="s">
        <v>76</v>
      </c>
      <c r="C27" s="574">
        <f t="shared" ref="C27:V27" si="12">SUM(C28:C55)</f>
        <v>95740</v>
      </c>
      <c r="D27" s="574">
        <f t="shared" si="12"/>
        <v>122000</v>
      </c>
      <c r="E27" s="621">
        <f t="shared" si="12"/>
        <v>394890</v>
      </c>
      <c r="F27" s="574">
        <f t="shared" si="12"/>
        <v>612630</v>
      </c>
      <c r="G27" s="574">
        <f t="shared" si="12"/>
        <v>0</v>
      </c>
      <c r="H27" s="574">
        <f t="shared" si="12"/>
        <v>0</v>
      </c>
      <c r="I27" s="574">
        <f t="shared" si="12"/>
        <v>0</v>
      </c>
      <c r="J27" s="574">
        <f t="shared" si="12"/>
        <v>0</v>
      </c>
      <c r="K27" s="577">
        <f t="shared" si="12"/>
        <v>0</v>
      </c>
      <c r="L27" s="574">
        <f t="shared" si="12"/>
        <v>0</v>
      </c>
      <c r="M27" s="574">
        <f t="shared" si="12"/>
        <v>0</v>
      </c>
      <c r="N27" s="577">
        <f t="shared" si="12"/>
        <v>0</v>
      </c>
      <c r="O27" s="577">
        <f t="shared" si="12"/>
        <v>0</v>
      </c>
      <c r="P27" s="577">
        <f t="shared" si="12"/>
        <v>0</v>
      </c>
      <c r="Q27" s="577">
        <f t="shared" si="12"/>
        <v>0</v>
      </c>
      <c r="R27" s="577">
        <f t="shared" si="12"/>
        <v>0</v>
      </c>
      <c r="S27" s="622">
        <f t="shared" si="12"/>
        <v>612630</v>
      </c>
      <c r="T27" s="622">
        <f t="shared" si="12"/>
        <v>612630</v>
      </c>
      <c r="U27" s="622">
        <f t="shared" si="12"/>
        <v>612630</v>
      </c>
      <c r="V27" s="586">
        <f t="shared" si="12"/>
        <v>612630</v>
      </c>
      <c r="W27" s="592">
        <f>SUM(W28:W54)</f>
        <v>3012600</v>
      </c>
      <c r="Z27" s="369">
        <v>1610500</v>
      </c>
    </row>
    <row r="28" spans="1:26">
      <c r="A28" s="367">
        <v>28</v>
      </c>
      <c r="B28" s="623" t="s">
        <v>3</v>
      </c>
      <c r="C28" s="609"/>
      <c r="D28" s="572"/>
      <c r="E28" s="573">
        <f>85000+20000-60</f>
        <v>104940</v>
      </c>
      <c r="F28" s="574">
        <f>SUM(C28:E28)</f>
        <v>104940</v>
      </c>
      <c r="G28" s="572"/>
      <c r="H28" s="572"/>
      <c r="I28" s="572"/>
      <c r="J28" s="574">
        <f>SUM(G28:I28)</f>
        <v>0</v>
      </c>
      <c r="K28" s="576"/>
      <c r="L28" s="572"/>
      <c r="M28" s="572"/>
      <c r="N28" s="577">
        <f>SUM(K28:M28)</f>
        <v>0</v>
      </c>
      <c r="O28" s="142"/>
      <c r="P28" s="142"/>
      <c r="Q28" s="142"/>
      <c r="R28" s="577">
        <f t="shared" ref="R28:R55" si="13">SUM(O28:Q28)</f>
        <v>0</v>
      </c>
      <c r="S28" s="586">
        <f t="shared" ref="S28:S70" si="14">F28</f>
        <v>104940</v>
      </c>
      <c r="T28" s="586">
        <f t="shared" ref="T28:T70" si="15">F28+J28</f>
        <v>104940</v>
      </c>
      <c r="U28" s="586">
        <f t="shared" ref="U28:U70" si="16">F28+J28+N28</f>
        <v>104940</v>
      </c>
      <c r="V28" s="586">
        <f t="shared" ref="V28:V70" si="17">F28+J28+N28+R28</f>
        <v>104940</v>
      </c>
      <c r="W28" s="587">
        <v>357000</v>
      </c>
      <c r="Z28" s="369">
        <v>442500</v>
      </c>
    </row>
    <row r="29" spans="1:26">
      <c r="A29" s="367">
        <v>29</v>
      </c>
      <c r="B29" s="623" t="s">
        <v>50</v>
      </c>
      <c r="C29" s="609">
        <f>-60+3500</f>
        <v>3440</v>
      </c>
      <c r="D29" s="572">
        <f>3500</f>
        <v>3500</v>
      </c>
      <c r="E29" s="573">
        <f>3500+14000+40000</f>
        <v>57500</v>
      </c>
      <c r="F29" s="574">
        <f t="shared" ref="F29:F49" si="18">SUM(C29:E29)</f>
        <v>64440</v>
      </c>
      <c r="G29" s="572"/>
      <c r="H29" s="572"/>
      <c r="I29" s="572"/>
      <c r="J29" s="574">
        <f t="shared" ref="J29:J49" si="19">SUM(G29:I29)</f>
        <v>0</v>
      </c>
      <c r="K29" s="576"/>
      <c r="L29" s="572"/>
      <c r="M29" s="572"/>
      <c r="N29" s="577">
        <f t="shared" ref="N29:N49" si="20">SUM(K29:M29)</f>
        <v>0</v>
      </c>
      <c r="O29" s="142"/>
      <c r="P29" s="142"/>
      <c r="Q29" s="142"/>
      <c r="R29" s="577">
        <f t="shared" si="13"/>
        <v>0</v>
      </c>
      <c r="S29" s="586">
        <f t="shared" si="14"/>
        <v>64440</v>
      </c>
      <c r="T29" s="586">
        <f t="shared" si="15"/>
        <v>64440</v>
      </c>
      <c r="U29" s="586">
        <f t="shared" si="16"/>
        <v>64440</v>
      </c>
      <c r="V29" s="586">
        <f t="shared" si="17"/>
        <v>64440</v>
      </c>
      <c r="W29" s="587">
        <v>264000</v>
      </c>
      <c r="Z29" s="369">
        <v>49450</v>
      </c>
    </row>
    <row r="30" spans="1:26">
      <c r="A30" s="367">
        <v>30</v>
      </c>
      <c r="B30" s="623" t="s">
        <v>4</v>
      </c>
      <c r="C30" s="609"/>
      <c r="D30" s="572"/>
      <c r="E30" s="573"/>
      <c r="F30" s="574">
        <f t="shared" si="18"/>
        <v>0</v>
      </c>
      <c r="G30" s="572"/>
      <c r="H30" s="572"/>
      <c r="I30" s="572"/>
      <c r="J30" s="574">
        <f t="shared" si="19"/>
        <v>0</v>
      </c>
      <c r="K30" s="576"/>
      <c r="L30" s="572"/>
      <c r="M30" s="572"/>
      <c r="N30" s="577">
        <f t="shared" si="20"/>
        <v>0</v>
      </c>
      <c r="O30" s="142"/>
      <c r="P30" s="142"/>
      <c r="Q30" s="142"/>
      <c r="R30" s="577">
        <f>SUM(O30:Q30)</f>
        <v>0</v>
      </c>
      <c r="S30" s="586">
        <f t="shared" si="14"/>
        <v>0</v>
      </c>
      <c r="T30" s="586">
        <f t="shared" si="15"/>
        <v>0</v>
      </c>
      <c r="U30" s="586">
        <f t="shared" si="16"/>
        <v>0</v>
      </c>
      <c r="V30" s="586">
        <f t="shared" si="17"/>
        <v>0</v>
      </c>
      <c r="W30" s="587">
        <v>25000</v>
      </c>
      <c r="Z30" s="369">
        <v>6620</v>
      </c>
    </row>
    <row r="31" spans="1:26">
      <c r="A31" s="367">
        <v>31</v>
      </c>
      <c r="B31" s="623" t="s">
        <v>46</v>
      </c>
      <c r="C31" s="609"/>
      <c r="D31" s="572"/>
      <c r="E31" s="573"/>
      <c r="F31" s="574">
        <f t="shared" si="18"/>
        <v>0</v>
      </c>
      <c r="G31" s="572"/>
      <c r="H31" s="572"/>
      <c r="I31" s="572"/>
      <c r="J31" s="574">
        <f t="shared" si="19"/>
        <v>0</v>
      </c>
      <c r="K31" s="576"/>
      <c r="L31" s="572"/>
      <c r="M31" s="572"/>
      <c r="N31" s="577">
        <f t="shared" si="20"/>
        <v>0</v>
      </c>
      <c r="O31" s="142"/>
      <c r="P31" s="142"/>
      <c r="Q31" s="142"/>
      <c r="R31" s="577">
        <f t="shared" si="13"/>
        <v>0</v>
      </c>
      <c r="S31" s="586">
        <f t="shared" si="14"/>
        <v>0</v>
      </c>
      <c r="T31" s="586">
        <f t="shared" si="15"/>
        <v>0</v>
      </c>
      <c r="U31" s="586">
        <f t="shared" si="16"/>
        <v>0</v>
      </c>
      <c r="V31" s="586">
        <f t="shared" si="17"/>
        <v>0</v>
      </c>
      <c r="W31" s="587">
        <v>20000</v>
      </c>
      <c r="Z31" s="369">
        <v>0</v>
      </c>
    </row>
    <row r="32" spans="1:26">
      <c r="A32" s="367">
        <v>32</v>
      </c>
      <c r="B32" s="623" t="s">
        <v>212</v>
      </c>
      <c r="C32" s="609"/>
      <c r="D32" s="572"/>
      <c r="E32" s="573"/>
      <c r="F32" s="574">
        <f>SUM(C32:E32)</f>
        <v>0</v>
      </c>
      <c r="G32" s="572"/>
      <c r="H32" s="572"/>
      <c r="I32" s="572"/>
      <c r="J32" s="574">
        <f>SUM(G32:I32)</f>
        <v>0</v>
      </c>
      <c r="K32" s="576"/>
      <c r="L32" s="572"/>
      <c r="M32" s="572"/>
      <c r="N32" s="577">
        <f>SUM(K32:M32)</f>
        <v>0</v>
      </c>
      <c r="O32" s="142"/>
      <c r="P32" s="142"/>
      <c r="Q32" s="142"/>
      <c r="R32" s="577">
        <f>SUM(O32:Q32)</f>
        <v>0</v>
      </c>
      <c r="S32" s="586">
        <f>F32</f>
        <v>0</v>
      </c>
      <c r="T32" s="586">
        <f>F32+J32</f>
        <v>0</v>
      </c>
      <c r="U32" s="586">
        <f>F32+J32+N32</f>
        <v>0</v>
      </c>
      <c r="V32" s="586">
        <f>F32+J32+N32+R32</f>
        <v>0</v>
      </c>
      <c r="W32" s="587">
        <v>20000</v>
      </c>
      <c r="Z32" s="369"/>
    </row>
    <row r="33" spans="1:26">
      <c r="A33" s="367">
        <v>33</v>
      </c>
      <c r="B33" s="623" t="s">
        <v>56</v>
      </c>
      <c r="C33" s="609"/>
      <c r="D33" s="572"/>
      <c r="E33" s="573"/>
      <c r="F33" s="574">
        <f t="shared" si="18"/>
        <v>0</v>
      </c>
      <c r="G33" s="572"/>
      <c r="H33" s="572"/>
      <c r="I33" s="572"/>
      <c r="J33" s="574">
        <f t="shared" si="19"/>
        <v>0</v>
      </c>
      <c r="K33" s="576"/>
      <c r="L33" s="572"/>
      <c r="M33" s="572"/>
      <c r="N33" s="577">
        <f t="shared" si="20"/>
        <v>0</v>
      </c>
      <c r="O33" s="142"/>
      <c r="P33" s="142"/>
      <c r="Q33" s="142"/>
      <c r="R33" s="577">
        <f t="shared" si="13"/>
        <v>0</v>
      </c>
      <c r="S33" s="586">
        <f t="shared" si="14"/>
        <v>0</v>
      </c>
      <c r="T33" s="586">
        <f t="shared" si="15"/>
        <v>0</v>
      </c>
      <c r="U33" s="586">
        <f t="shared" si="16"/>
        <v>0</v>
      </c>
      <c r="V33" s="586">
        <f t="shared" si="17"/>
        <v>0</v>
      </c>
      <c r="W33" s="587">
        <v>15000</v>
      </c>
      <c r="Z33" s="369">
        <v>5900</v>
      </c>
    </row>
    <row r="34" spans="1:26">
      <c r="A34" s="367">
        <v>34</v>
      </c>
      <c r="B34" s="623" t="s">
        <v>52</v>
      </c>
      <c r="C34" s="609"/>
      <c r="D34" s="572"/>
      <c r="E34" s="573"/>
      <c r="F34" s="574">
        <f t="shared" si="18"/>
        <v>0</v>
      </c>
      <c r="G34" s="572"/>
      <c r="H34" s="572"/>
      <c r="I34" s="572"/>
      <c r="J34" s="574">
        <f t="shared" si="19"/>
        <v>0</v>
      </c>
      <c r="K34" s="576"/>
      <c r="L34" s="572"/>
      <c r="M34" s="572"/>
      <c r="N34" s="577">
        <f t="shared" si="20"/>
        <v>0</v>
      </c>
      <c r="O34" s="142"/>
      <c r="P34" s="142"/>
      <c r="Q34" s="142"/>
      <c r="R34" s="577">
        <f t="shared" si="13"/>
        <v>0</v>
      </c>
      <c r="S34" s="586">
        <f t="shared" si="14"/>
        <v>0</v>
      </c>
      <c r="T34" s="586">
        <f t="shared" si="15"/>
        <v>0</v>
      </c>
      <c r="U34" s="586">
        <f t="shared" si="16"/>
        <v>0</v>
      </c>
      <c r="V34" s="586">
        <f t="shared" si="17"/>
        <v>0</v>
      </c>
      <c r="W34" s="587">
        <v>35000</v>
      </c>
      <c r="Z34" s="369">
        <v>0</v>
      </c>
    </row>
    <row r="35" spans="1:26">
      <c r="A35" s="367">
        <v>35</v>
      </c>
      <c r="B35" s="623" t="s">
        <v>145</v>
      </c>
      <c r="C35" s="609"/>
      <c r="D35" s="572"/>
      <c r="E35" s="573"/>
      <c r="F35" s="574">
        <f t="shared" si="18"/>
        <v>0</v>
      </c>
      <c r="G35" s="572"/>
      <c r="H35" s="572"/>
      <c r="I35" s="572"/>
      <c r="J35" s="574">
        <f t="shared" si="19"/>
        <v>0</v>
      </c>
      <c r="K35" s="576"/>
      <c r="L35" s="572"/>
      <c r="M35" s="572"/>
      <c r="N35" s="577">
        <f t="shared" si="20"/>
        <v>0</v>
      </c>
      <c r="O35" s="142"/>
      <c r="P35" s="142"/>
      <c r="Q35" s="142"/>
      <c r="R35" s="577">
        <f t="shared" si="13"/>
        <v>0</v>
      </c>
      <c r="S35" s="586">
        <f t="shared" si="14"/>
        <v>0</v>
      </c>
      <c r="T35" s="586">
        <f t="shared" si="15"/>
        <v>0</v>
      </c>
      <c r="U35" s="586">
        <f t="shared" si="16"/>
        <v>0</v>
      </c>
      <c r="V35" s="586">
        <f t="shared" si="17"/>
        <v>0</v>
      </c>
      <c r="W35" s="587">
        <v>130000</v>
      </c>
      <c r="Z35" s="369">
        <v>0</v>
      </c>
    </row>
    <row r="36" spans="1:26">
      <c r="A36" s="367">
        <v>36</v>
      </c>
      <c r="B36" s="623" t="s">
        <v>77</v>
      </c>
      <c r="C36" s="609"/>
      <c r="D36" s="572"/>
      <c r="E36" s="573">
        <f>5000+1400+100000</f>
        <v>106400</v>
      </c>
      <c r="F36" s="574">
        <f t="shared" si="18"/>
        <v>106400</v>
      </c>
      <c r="G36" s="572"/>
      <c r="H36" s="572"/>
      <c r="I36" s="572"/>
      <c r="J36" s="574">
        <f t="shared" si="19"/>
        <v>0</v>
      </c>
      <c r="K36" s="576"/>
      <c r="L36" s="572"/>
      <c r="M36" s="572"/>
      <c r="N36" s="577">
        <f t="shared" si="20"/>
        <v>0</v>
      </c>
      <c r="O36" s="142"/>
      <c r="P36" s="142"/>
      <c r="Q36" s="142"/>
      <c r="R36" s="577">
        <f t="shared" si="13"/>
        <v>0</v>
      </c>
      <c r="S36" s="586">
        <f t="shared" si="14"/>
        <v>106400</v>
      </c>
      <c r="T36" s="586">
        <f t="shared" si="15"/>
        <v>106400</v>
      </c>
      <c r="U36" s="586">
        <f t="shared" si="16"/>
        <v>106400</v>
      </c>
      <c r="V36" s="586">
        <f t="shared" si="17"/>
        <v>106400</v>
      </c>
      <c r="W36" s="587">
        <v>500000</v>
      </c>
      <c r="Z36" s="369">
        <v>0</v>
      </c>
    </row>
    <row r="37" spans="1:26">
      <c r="A37" s="367">
        <v>37</v>
      </c>
      <c r="B37" s="623" t="s">
        <v>135</v>
      </c>
      <c r="C37" s="609"/>
      <c r="D37" s="572"/>
      <c r="E37" s="573"/>
      <c r="F37" s="574">
        <f t="shared" si="18"/>
        <v>0</v>
      </c>
      <c r="G37" s="572"/>
      <c r="H37" s="572"/>
      <c r="I37" s="572"/>
      <c r="J37" s="574">
        <f t="shared" si="19"/>
        <v>0</v>
      </c>
      <c r="K37" s="576"/>
      <c r="L37" s="572"/>
      <c r="M37" s="572"/>
      <c r="N37" s="577">
        <f t="shared" si="20"/>
        <v>0</v>
      </c>
      <c r="O37" s="142"/>
      <c r="P37" s="142"/>
      <c r="Q37" s="142"/>
      <c r="R37" s="577">
        <f t="shared" si="13"/>
        <v>0</v>
      </c>
      <c r="S37" s="586">
        <f t="shared" si="14"/>
        <v>0</v>
      </c>
      <c r="T37" s="586">
        <f t="shared" si="15"/>
        <v>0</v>
      </c>
      <c r="U37" s="586">
        <f t="shared" si="16"/>
        <v>0</v>
      </c>
      <c r="V37" s="586">
        <f t="shared" si="17"/>
        <v>0</v>
      </c>
      <c r="W37" s="587">
        <v>75000</v>
      </c>
      <c r="Z37" s="369">
        <v>0</v>
      </c>
    </row>
    <row r="38" spans="1:26">
      <c r="A38" s="367">
        <v>38</v>
      </c>
      <c r="B38" s="623" t="s">
        <v>137</v>
      </c>
      <c r="C38" s="609">
        <f>5000+5000+8000+2000</f>
        <v>20000</v>
      </c>
      <c r="D38" s="572">
        <f>2000</f>
        <v>2000</v>
      </c>
      <c r="E38" s="573">
        <v>2000</v>
      </c>
      <c r="F38" s="574">
        <f>SUM(C38:E38)</f>
        <v>24000</v>
      </c>
      <c r="G38" s="572"/>
      <c r="H38" s="572"/>
      <c r="I38" s="572"/>
      <c r="J38" s="574">
        <f>SUM(G38:I38)</f>
        <v>0</v>
      </c>
      <c r="K38" s="576"/>
      <c r="L38" s="572"/>
      <c r="M38" s="572"/>
      <c r="N38" s="577">
        <f>SUM(K38:M38)</f>
        <v>0</v>
      </c>
      <c r="O38" s="142"/>
      <c r="P38" s="142"/>
      <c r="Q38" s="142"/>
      <c r="R38" s="577">
        <f>SUM(O38:Q38)</f>
        <v>0</v>
      </c>
      <c r="S38" s="586">
        <f>F38</f>
        <v>24000</v>
      </c>
      <c r="T38" s="586">
        <f>F38+J38</f>
        <v>24000</v>
      </c>
      <c r="U38" s="586">
        <f>F38+J38+N38</f>
        <v>24000</v>
      </c>
      <c r="V38" s="586">
        <f>F38+J38+N38+R38</f>
        <v>24000</v>
      </c>
      <c r="W38" s="587">
        <v>38000</v>
      </c>
      <c r="Z38" s="369">
        <v>42500</v>
      </c>
    </row>
    <row r="39" spans="1:26">
      <c r="A39" s="367">
        <v>39</v>
      </c>
      <c r="B39" s="623" t="s">
        <v>54</v>
      </c>
      <c r="C39" s="609"/>
      <c r="D39" s="572"/>
      <c r="E39" s="573">
        <f>7000-3800</f>
        <v>3200</v>
      </c>
      <c r="F39" s="574">
        <f>SUM(C39:E39)</f>
        <v>3200</v>
      </c>
      <c r="G39" s="572"/>
      <c r="H39" s="572"/>
      <c r="I39" s="572"/>
      <c r="J39" s="574">
        <f>SUM(G39:I39)</f>
        <v>0</v>
      </c>
      <c r="K39" s="576"/>
      <c r="L39" s="572"/>
      <c r="M39" s="572"/>
      <c r="N39" s="577">
        <f>SUM(K39:M39)</f>
        <v>0</v>
      </c>
      <c r="O39" s="142"/>
      <c r="P39" s="142"/>
      <c r="Q39" s="142"/>
      <c r="R39" s="577">
        <f>SUM(O39:Q39)</f>
        <v>0</v>
      </c>
      <c r="S39" s="586">
        <f>F39</f>
        <v>3200</v>
      </c>
      <c r="T39" s="586">
        <f>F39+J39</f>
        <v>3200</v>
      </c>
      <c r="U39" s="586">
        <f>F39+J39+N39</f>
        <v>3200</v>
      </c>
      <c r="V39" s="586">
        <f>F39+J39+N39+R39</f>
        <v>3200</v>
      </c>
      <c r="W39" s="587">
        <v>34500</v>
      </c>
      <c r="Z39" s="369">
        <v>20000</v>
      </c>
    </row>
    <row r="40" spans="1:26">
      <c r="A40" s="367">
        <v>40</v>
      </c>
      <c r="B40" s="623" t="s">
        <v>49</v>
      </c>
      <c r="C40" s="609">
        <v>4500</v>
      </c>
      <c r="D40" s="624"/>
      <c r="E40" s="573">
        <f>1500-50</f>
        <v>1450</v>
      </c>
      <c r="F40" s="574">
        <f t="shared" si="18"/>
        <v>5950</v>
      </c>
      <c r="G40" s="572"/>
      <c r="H40" s="572"/>
      <c r="I40" s="572"/>
      <c r="J40" s="574">
        <f t="shared" si="19"/>
        <v>0</v>
      </c>
      <c r="K40" s="576"/>
      <c r="L40" s="572"/>
      <c r="M40" s="572"/>
      <c r="N40" s="577">
        <f t="shared" si="20"/>
        <v>0</v>
      </c>
      <c r="O40" s="142"/>
      <c r="P40" s="142"/>
      <c r="Q40" s="142"/>
      <c r="R40" s="577">
        <f t="shared" si="13"/>
        <v>0</v>
      </c>
      <c r="S40" s="586">
        <f t="shared" si="14"/>
        <v>5950</v>
      </c>
      <c r="T40" s="586">
        <f t="shared" si="15"/>
        <v>5950</v>
      </c>
      <c r="U40" s="586">
        <f t="shared" si="16"/>
        <v>5950</v>
      </c>
      <c r="V40" s="586">
        <f t="shared" si="17"/>
        <v>5950</v>
      </c>
      <c r="W40" s="587">
        <v>262800</v>
      </c>
      <c r="Z40" s="369">
        <v>157110</v>
      </c>
    </row>
    <row r="41" spans="1:26">
      <c r="A41" s="367">
        <v>41</v>
      </c>
      <c r="B41" s="623" t="s">
        <v>45</v>
      </c>
      <c r="C41" s="609">
        <v>27400</v>
      </c>
      <c r="D41" s="572"/>
      <c r="E41" s="573"/>
      <c r="F41" s="574">
        <f t="shared" si="18"/>
        <v>27400</v>
      </c>
      <c r="G41" s="572"/>
      <c r="H41" s="572"/>
      <c r="I41" s="572"/>
      <c r="J41" s="574">
        <f t="shared" si="19"/>
        <v>0</v>
      </c>
      <c r="K41" s="576"/>
      <c r="L41" s="572"/>
      <c r="M41" s="572"/>
      <c r="N41" s="577">
        <f t="shared" si="20"/>
        <v>0</v>
      </c>
      <c r="O41" s="142"/>
      <c r="P41" s="142"/>
      <c r="Q41" s="625"/>
      <c r="R41" s="577">
        <f t="shared" si="13"/>
        <v>0</v>
      </c>
      <c r="S41" s="586">
        <f t="shared" si="14"/>
        <v>27400</v>
      </c>
      <c r="T41" s="586">
        <f t="shared" si="15"/>
        <v>27400</v>
      </c>
      <c r="U41" s="586">
        <f t="shared" si="16"/>
        <v>27400</v>
      </c>
      <c r="V41" s="586">
        <f t="shared" si="17"/>
        <v>27400</v>
      </c>
      <c r="W41" s="587">
        <v>150000</v>
      </c>
      <c r="Z41" s="369">
        <v>262600</v>
      </c>
    </row>
    <row r="42" spans="1:26">
      <c r="A42" s="367">
        <v>42</v>
      </c>
      <c r="B42" s="623" t="s">
        <v>89</v>
      </c>
      <c r="C42" s="609"/>
      <c r="D42" s="572"/>
      <c r="E42" s="573"/>
      <c r="F42" s="574">
        <f t="shared" si="18"/>
        <v>0</v>
      </c>
      <c r="G42" s="572"/>
      <c r="H42" s="572"/>
      <c r="I42" s="572"/>
      <c r="J42" s="574">
        <f t="shared" si="19"/>
        <v>0</v>
      </c>
      <c r="K42" s="576"/>
      <c r="L42" s="572"/>
      <c r="M42" s="572"/>
      <c r="N42" s="577">
        <f t="shared" si="20"/>
        <v>0</v>
      </c>
      <c r="O42" s="142"/>
      <c r="P42" s="142"/>
      <c r="Q42" s="625"/>
      <c r="R42" s="577">
        <f t="shared" si="13"/>
        <v>0</v>
      </c>
      <c r="S42" s="586">
        <f t="shared" si="14"/>
        <v>0</v>
      </c>
      <c r="T42" s="586">
        <f t="shared" si="15"/>
        <v>0</v>
      </c>
      <c r="U42" s="586">
        <f t="shared" si="16"/>
        <v>0</v>
      </c>
      <c r="V42" s="586">
        <f t="shared" si="17"/>
        <v>0</v>
      </c>
      <c r="W42" s="587">
        <v>50000</v>
      </c>
      <c r="Z42" s="369">
        <v>4500</v>
      </c>
    </row>
    <row r="43" spans="1:26">
      <c r="A43" s="367">
        <v>43</v>
      </c>
      <c r="B43" s="623" t="s">
        <v>55</v>
      </c>
      <c r="C43" s="609"/>
      <c r="D43" s="572">
        <v>16000</v>
      </c>
      <c r="E43" s="573">
        <f>5000</f>
        <v>5000</v>
      </c>
      <c r="F43" s="574">
        <f t="shared" si="18"/>
        <v>21000</v>
      </c>
      <c r="G43" s="572"/>
      <c r="H43" s="572"/>
      <c r="I43" s="572"/>
      <c r="J43" s="626">
        <f t="shared" si="19"/>
        <v>0</v>
      </c>
      <c r="K43" s="576"/>
      <c r="L43" s="572"/>
      <c r="M43" s="572"/>
      <c r="N43" s="577">
        <f t="shared" si="20"/>
        <v>0</v>
      </c>
      <c r="O43" s="142"/>
      <c r="P43" s="142"/>
      <c r="Q43" s="625"/>
      <c r="R43" s="577">
        <f t="shared" si="13"/>
        <v>0</v>
      </c>
      <c r="S43" s="586">
        <f t="shared" si="14"/>
        <v>21000</v>
      </c>
      <c r="T43" s="586">
        <f t="shared" si="15"/>
        <v>21000</v>
      </c>
      <c r="U43" s="586">
        <f t="shared" si="16"/>
        <v>21000</v>
      </c>
      <c r="V43" s="586">
        <f t="shared" si="17"/>
        <v>21000</v>
      </c>
      <c r="W43" s="587">
        <v>281000</v>
      </c>
      <c r="Z43" s="369">
        <v>20900</v>
      </c>
    </row>
    <row r="44" spans="1:26">
      <c r="A44" s="367">
        <v>44</v>
      </c>
      <c r="B44" s="623" t="s">
        <v>134</v>
      </c>
      <c r="C44" s="609"/>
      <c r="D44" s="572"/>
      <c r="E44" s="573"/>
      <c r="F44" s="574">
        <f t="shared" si="18"/>
        <v>0</v>
      </c>
      <c r="G44" s="572"/>
      <c r="H44" s="572"/>
      <c r="I44" s="572"/>
      <c r="J44" s="574">
        <f t="shared" si="19"/>
        <v>0</v>
      </c>
      <c r="K44" s="576"/>
      <c r="L44" s="572"/>
      <c r="M44" s="572"/>
      <c r="N44" s="577">
        <f t="shared" si="20"/>
        <v>0</v>
      </c>
      <c r="O44" s="142"/>
      <c r="P44" s="142"/>
      <c r="Q44" s="142"/>
      <c r="R44" s="577">
        <f>SUM(O44:Q44)</f>
        <v>0</v>
      </c>
      <c r="S44" s="586">
        <f t="shared" si="14"/>
        <v>0</v>
      </c>
      <c r="T44" s="586">
        <f t="shared" si="15"/>
        <v>0</v>
      </c>
      <c r="U44" s="586">
        <f t="shared" si="16"/>
        <v>0</v>
      </c>
      <c r="V44" s="586">
        <f t="shared" si="17"/>
        <v>0</v>
      </c>
      <c r="W44" s="587">
        <v>0</v>
      </c>
      <c r="Z44" s="369">
        <v>0</v>
      </c>
    </row>
    <row r="45" spans="1:26">
      <c r="A45" s="367">
        <v>45</v>
      </c>
      <c r="B45" s="627" t="s">
        <v>44</v>
      </c>
      <c r="C45" s="628"/>
      <c r="D45" s="572"/>
      <c r="E45" s="573"/>
      <c r="F45" s="574">
        <f>SUM(C45:E45)</f>
        <v>0</v>
      </c>
      <c r="G45" s="572"/>
      <c r="H45" s="572"/>
      <c r="I45" s="572"/>
      <c r="J45" s="574">
        <f>SUM(G45:I45)</f>
        <v>0</v>
      </c>
      <c r="K45" s="576"/>
      <c r="L45" s="572"/>
      <c r="M45" s="572"/>
      <c r="N45" s="577">
        <f>SUM(K45:M45)</f>
        <v>0</v>
      </c>
      <c r="O45" s="142"/>
      <c r="P45" s="594"/>
      <c r="Q45" s="142"/>
      <c r="R45" s="577">
        <f>SUM(O45:Q45)</f>
        <v>0</v>
      </c>
      <c r="S45" s="586">
        <f>F45</f>
        <v>0</v>
      </c>
      <c r="T45" s="586">
        <f>F45+J45</f>
        <v>0</v>
      </c>
      <c r="U45" s="586">
        <f>F45+J45+N45</f>
        <v>0</v>
      </c>
      <c r="V45" s="586">
        <f>F45+J45+N45+R45</f>
        <v>0</v>
      </c>
      <c r="W45" s="587">
        <v>200000</v>
      </c>
      <c r="Z45" s="369">
        <v>193220</v>
      </c>
    </row>
    <row r="46" spans="1:26">
      <c r="A46" s="367">
        <v>46</v>
      </c>
      <c r="B46" s="623" t="s">
        <v>136</v>
      </c>
      <c r="C46" s="609"/>
      <c r="D46" s="572"/>
      <c r="E46" s="573"/>
      <c r="F46" s="574">
        <f t="shared" si="18"/>
        <v>0</v>
      </c>
      <c r="G46" s="572"/>
      <c r="H46" s="572"/>
      <c r="I46" s="572"/>
      <c r="J46" s="574">
        <f t="shared" si="19"/>
        <v>0</v>
      </c>
      <c r="K46" s="576"/>
      <c r="L46" s="572"/>
      <c r="M46" s="572"/>
      <c r="N46" s="577">
        <f t="shared" si="20"/>
        <v>0</v>
      </c>
      <c r="O46" s="142"/>
      <c r="P46" s="142"/>
      <c r="Q46" s="142"/>
      <c r="R46" s="577">
        <f t="shared" si="13"/>
        <v>0</v>
      </c>
      <c r="S46" s="586">
        <f t="shared" si="14"/>
        <v>0</v>
      </c>
      <c r="T46" s="586">
        <f t="shared" si="15"/>
        <v>0</v>
      </c>
      <c r="U46" s="586">
        <f t="shared" si="16"/>
        <v>0</v>
      </c>
      <c r="V46" s="586">
        <f t="shared" si="17"/>
        <v>0</v>
      </c>
      <c r="W46" s="587">
        <v>0</v>
      </c>
      <c r="Z46" s="369">
        <v>0</v>
      </c>
    </row>
    <row r="47" spans="1:26">
      <c r="A47" s="367">
        <v>47</v>
      </c>
      <c r="B47" s="623" t="s">
        <v>5</v>
      </c>
      <c r="C47" s="609">
        <f>2000+4000+4000+5000</f>
        <v>15000</v>
      </c>
      <c r="D47" s="572">
        <f>27500</f>
        <v>27500</v>
      </c>
      <c r="E47" s="573">
        <f>4000+25000</f>
        <v>29000</v>
      </c>
      <c r="F47" s="574">
        <f t="shared" si="18"/>
        <v>71500</v>
      </c>
      <c r="G47" s="572"/>
      <c r="H47" s="572"/>
      <c r="I47" s="572"/>
      <c r="J47" s="626">
        <f t="shared" si="19"/>
        <v>0</v>
      </c>
      <c r="K47" s="576"/>
      <c r="L47" s="572"/>
      <c r="M47" s="572"/>
      <c r="N47" s="577">
        <f t="shared" si="20"/>
        <v>0</v>
      </c>
      <c r="O47" s="142"/>
      <c r="P47" s="142"/>
      <c r="Q47" s="625"/>
      <c r="R47" s="577">
        <f t="shared" si="13"/>
        <v>0</v>
      </c>
      <c r="S47" s="586">
        <f t="shared" si="14"/>
        <v>71500</v>
      </c>
      <c r="T47" s="586">
        <f t="shared" si="15"/>
        <v>71500</v>
      </c>
      <c r="U47" s="586">
        <f t="shared" si="16"/>
        <v>71500</v>
      </c>
      <c r="V47" s="586">
        <f t="shared" si="17"/>
        <v>71500</v>
      </c>
      <c r="W47" s="587">
        <v>300000</v>
      </c>
      <c r="Z47" s="369">
        <v>242900</v>
      </c>
    </row>
    <row r="48" spans="1:26">
      <c r="A48" s="367">
        <v>48</v>
      </c>
      <c r="B48" s="623" t="s">
        <v>138</v>
      </c>
      <c r="C48" s="609"/>
      <c r="D48" s="572"/>
      <c r="E48" s="573"/>
      <c r="F48" s="574">
        <f>SUM(C48:E48)</f>
        <v>0</v>
      </c>
      <c r="G48" s="572"/>
      <c r="H48" s="572"/>
      <c r="I48" s="572"/>
      <c r="J48" s="626">
        <f>SUM(G48:I48)</f>
        <v>0</v>
      </c>
      <c r="K48" s="576"/>
      <c r="L48" s="572"/>
      <c r="M48" s="572"/>
      <c r="N48" s="577">
        <f>SUM(K48:M48)</f>
        <v>0</v>
      </c>
      <c r="O48" s="142"/>
      <c r="P48" s="142"/>
      <c r="Q48" s="142"/>
      <c r="R48" s="577">
        <f>SUM(O48:Q48)</f>
        <v>0</v>
      </c>
      <c r="S48" s="586">
        <f>F48</f>
        <v>0</v>
      </c>
      <c r="T48" s="586">
        <f>F48+J48</f>
        <v>0</v>
      </c>
      <c r="U48" s="586">
        <f>F48+J48+N48</f>
        <v>0</v>
      </c>
      <c r="V48" s="586">
        <f>F48+J48+N48+R48</f>
        <v>0</v>
      </c>
      <c r="W48" s="587">
        <v>10000</v>
      </c>
      <c r="Z48" s="369">
        <v>0</v>
      </c>
    </row>
    <row r="49" spans="1:26">
      <c r="A49" s="367">
        <v>49</v>
      </c>
      <c r="B49" s="623" t="s">
        <v>38</v>
      </c>
      <c r="C49" s="609">
        <f>11400</f>
        <v>11400</v>
      </c>
      <c r="D49" s="572"/>
      <c r="E49" s="573">
        <f>20000</f>
        <v>20000</v>
      </c>
      <c r="F49" s="574">
        <f t="shared" si="18"/>
        <v>31400</v>
      </c>
      <c r="G49" s="572"/>
      <c r="H49" s="572"/>
      <c r="I49" s="572"/>
      <c r="J49" s="574">
        <f t="shared" si="19"/>
        <v>0</v>
      </c>
      <c r="K49" s="576"/>
      <c r="L49" s="572"/>
      <c r="M49" s="572"/>
      <c r="N49" s="577">
        <f t="shared" si="20"/>
        <v>0</v>
      </c>
      <c r="O49" s="142"/>
      <c r="P49" s="142"/>
      <c r="Q49" s="625"/>
      <c r="R49" s="577">
        <f t="shared" si="13"/>
        <v>0</v>
      </c>
      <c r="S49" s="586">
        <f t="shared" si="14"/>
        <v>31400</v>
      </c>
      <c r="T49" s="586">
        <f t="shared" si="15"/>
        <v>31400</v>
      </c>
      <c r="U49" s="586">
        <f t="shared" si="16"/>
        <v>31400</v>
      </c>
      <c r="V49" s="586">
        <f t="shared" si="17"/>
        <v>31400</v>
      </c>
      <c r="W49" s="587">
        <v>37800</v>
      </c>
      <c r="Z49" s="369">
        <v>42100</v>
      </c>
    </row>
    <row r="50" spans="1:26">
      <c r="A50" s="367">
        <v>50</v>
      </c>
      <c r="B50" s="623" t="s">
        <v>53</v>
      </c>
      <c r="C50" s="609">
        <v>2500</v>
      </c>
      <c r="D50" s="572"/>
      <c r="E50" s="573"/>
      <c r="F50" s="574">
        <f>SUM(C50:E50)</f>
        <v>2500</v>
      </c>
      <c r="G50" s="572"/>
      <c r="H50" s="572"/>
      <c r="I50" s="572"/>
      <c r="J50" s="574">
        <f>SUM(G50:I50)</f>
        <v>0</v>
      </c>
      <c r="K50" s="576"/>
      <c r="L50" s="572"/>
      <c r="M50" s="572"/>
      <c r="N50" s="577">
        <f>SUM(K50:M50)</f>
        <v>0</v>
      </c>
      <c r="O50" s="142"/>
      <c r="P50" s="142"/>
      <c r="Q50" s="142"/>
      <c r="R50" s="577">
        <f t="shared" si="13"/>
        <v>0</v>
      </c>
      <c r="S50" s="586">
        <f t="shared" si="14"/>
        <v>2500</v>
      </c>
      <c r="T50" s="586">
        <f t="shared" si="15"/>
        <v>2500</v>
      </c>
      <c r="U50" s="586">
        <f t="shared" si="16"/>
        <v>2500</v>
      </c>
      <c r="V50" s="586">
        <f t="shared" si="17"/>
        <v>2500</v>
      </c>
      <c r="W50" s="587">
        <v>8000</v>
      </c>
      <c r="Z50" s="369">
        <v>0</v>
      </c>
    </row>
    <row r="51" spans="1:26">
      <c r="A51" s="367">
        <v>51</v>
      </c>
      <c r="B51" s="627" t="s">
        <v>47</v>
      </c>
      <c r="C51" s="628">
        <v>1500</v>
      </c>
      <c r="D51" s="572">
        <f>1500+1500</f>
        <v>3000</v>
      </c>
      <c r="E51" s="573"/>
      <c r="F51" s="574">
        <f>SUM(C51:E51)</f>
        <v>4500</v>
      </c>
      <c r="G51" s="572"/>
      <c r="H51" s="572"/>
      <c r="I51" s="572"/>
      <c r="J51" s="574">
        <f>SUM(G51:I51)</f>
        <v>0</v>
      </c>
      <c r="K51" s="576"/>
      <c r="L51" s="572"/>
      <c r="M51" s="572"/>
      <c r="N51" s="577">
        <f>SUM(K51:M51)</f>
        <v>0</v>
      </c>
      <c r="O51" s="142"/>
      <c r="P51" s="142"/>
      <c r="Q51" s="142"/>
      <c r="R51" s="577">
        <f t="shared" si="13"/>
        <v>0</v>
      </c>
      <c r="S51" s="586">
        <f t="shared" si="14"/>
        <v>4500</v>
      </c>
      <c r="T51" s="586">
        <f t="shared" si="15"/>
        <v>4500</v>
      </c>
      <c r="U51" s="586">
        <f t="shared" si="16"/>
        <v>4500</v>
      </c>
      <c r="V51" s="586">
        <f t="shared" si="17"/>
        <v>4500</v>
      </c>
      <c r="W51" s="587">
        <v>16000</v>
      </c>
      <c r="Z51" s="369">
        <v>9000</v>
      </c>
    </row>
    <row r="52" spans="1:26">
      <c r="A52" s="367">
        <v>52</v>
      </c>
      <c r="B52" s="623" t="s">
        <v>48</v>
      </c>
      <c r="C52" s="609"/>
      <c r="D52" s="572"/>
      <c r="E52" s="573">
        <f>4000+38000</f>
        <v>42000</v>
      </c>
      <c r="F52" s="574">
        <f>SUM(C52:E52)</f>
        <v>42000</v>
      </c>
      <c r="G52" s="572"/>
      <c r="H52" s="572"/>
      <c r="I52" s="572"/>
      <c r="J52" s="574">
        <f>SUM(G52:I52)</f>
        <v>0</v>
      </c>
      <c r="K52" s="576"/>
      <c r="L52" s="572"/>
      <c r="M52" s="572"/>
      <c r="N52" s="577">
        <f>SUM(K52:M52)</f>
        <v>0</v>
      </c>
      <c r="O52" s="142"/>
      <c r="P52" s="142"/>
      <c r="Q52" s="142"/>
      <c r="R52" s="577">
        <f t="shared" si="13"/>
        <v>0</v>
      </c>
      <c r="S52" s="586">
        <f t="shared" si="14"/>
        <v>42000</v>
      </c>
      <c r="T52" s="586">
        <f t="shared" si="15"/>
        <v>42000</v>
      </c>
      <c r="U52" s="586">
        <f t="shared" si="16"/>
        <v>42000</v>
      </c>
      <c r="V52" s="586">
        <f t="shared" si="17"/>
        <v>42000</v>
      </c>
      <c r="W52" s="587">
        <v>80500</v>
      </c>
      <c r="Z52" s="369">
        <v>36200</v>
      </c>
    </row>
    <row r="53" spans="1:26">
      <c r="A53" s="367">
        <v>53</v>
      </c>
      <c r="B53" s="623" t="s">
        <v>51</v>
      </c>
      <c r="C53" s="609">
        <v>10000</v>
      </c>
      <c r="D53" s="609">
        <f>70000*0.7</f>
        <v>49000</v>
      </c>
      <c r="E53" s="573">
        <f>10000</f>
        <v>10000</v>
      </c>
      <c r="F53" s="574">
        <f>SUM(C53:E53)</f>
        <v>69000</v>
      </c>
      <c r="G53" s="572"/>
      <c r="H53" s="572"/>
      <c r="I53" s="572"/>
      <c r="J53" s="574">
        <f>SUM(G53:I53)</f>
        <v>0</v>
      </c>
      <c r="K53" s="576"/>
      <c r="L53" s="572"/>
      <c r="M53" s="572"/>
      <c r="N53" s="577">
        <f>SUM(K53:M53)</f>
        <v>0</v>
      </c>
      <c r="O53" s="142"/>
      <c r="P53" s="142"/>
      <c r="Q53" s="142"/>
      <c r="R53" s="577">
        <f t="shared" si="13"/>
        <v>0</v>
      </c>
      <c r="S53" s="586">
        <f t="shared" si="14"/>
        <v>69000</v>
      </c>
      <c r="T53" s="586">
        <f t="shared" si="15"/>
        <v>69000</v>
      </c>
      <c r="U53" s="586">
        <f t="shared" si="16"/>
        <v>69000</v>
      </c>
      <c r="V53" s="586">
        <f t="shared" si="17"/>
        <v>69000</v>
      </c>
      <c r="W53" s="587">
        <v>83000</v>
      </c>
      <c r="Z53" s="369">
        <v>15000</v>
      </c>
    </row>
    <row r="54" spans="1:26">
      <c r="A54" s="367">
        <v>54</v>
      </c>
      <c r="B54" s="623" t="s">
        <v>165</v>
      </c>
      <c r="C54" s="609"/>
      <c r="D54" s="609">
        <f>70000*0.3</f>
        <v>21000</v>
      </c>
      <c r="E54" s="573">
        <f>20000-6600</f>
        <v>13400</v>
      </c>
      <c r="F54" s="574">
        <f>SUM(C54:E54)</f>
        <v>34400</v>
      </c>
      <c r="G54" s="572"/>
      <c r="H54" s="572"/>
      <c r="I54" s="572"/>
      <c r="J54" s="574">
        <f>SUM(G54:I54)</f>
        <v>0</v>
      </c>
      <c r="K54" s="576"/>
      <c r="L54" s="572"/>
      <c r="M54" s="572"/>
      <c r="N54" s="577">
        <f>SUM(K54:M54)</f>
        <v>0</v>
      </c>
      <c r="O54" s="142"/>
      <c r="P54" s="142"/>
      <c r="Q54" s="142"/>
      <c r="R54" s="577">
        <f t="shared" si="13"/>
        <v>0</v>
      </c>
      <c r="S54" s="586">
        <f t="shared" si="14"/>
        <v>34400</v>
      </c>
      <c r="T54" s="586">
        <f t="shared" si="15"/>
        <v>34400</v>
      </c>
      <c r="U54" s="586">
        <f t="shared" si="16"/>
        <v>34400</v>
      </c>
      <c r="V54" s="586">
        <f t="shared" si="17"/>
        <v>34400</v>
      </c>
      <c r="W54" s="587">
        <v>20000</v>
      </c>
      <c r="Z54" s="369">
        <v>60000</v>
      </c>
    </row>
    <row r="55" spans="1:26">
      <c r="A55" s="367">
        <v>55</v>
      </c>
      <c r="B55" s="623" t="s">
        <v>196</v>
      </c>
      <c r="C55" s="609"/>
      <c r="D55" s="572"/>
      <c r="E55" s="573"/>
      <c r="F55" s="574"/>
      <c r="G55" s="572"/>
      <c r="H55" s="572"/>
      <c r="I55" s="572"/>
      <c r="J55" s="574"/>
      <c r="K55" s="576"/>
      <c r="L55" s="572"/>
      <c r="M55" s="572"/>
      <c r="N55" s="577"/>
      <c r="O55" s="142"/>
      <c r="P55" s="142"/>
      <c r="Q55" s="142"/>
      <c r="R55" s="577">
        <f t="shared" si="13"/>
        <v>0</v>
      </c>
      <c r="S55" s="586">
        <f t="shared" si="14"/>
        <v>0</v>
      </c>
      <c r="T55" s="586">
        <f t="shared" si="15"/>
        <v>0</v>
      </c>
      <c r="U55" s="586">
        <f t="shared" si="16"/>
        <v>0</v>
      </c>
      <c r="V55" s="586">
        <f t="shared" si="17"/>
        <v>0</v>
      </c>
      <c r="W55" s="587"/>
      <c r="Z55" s="369">
        <v>0</v>
      </c>
    </row>
    <row r="56" spans="1:26">
      <c r="A56" s="367">
        <v>56</v>
      </c>
      <c r="B56" s="623"/>
      <c r="C56" s="609"/>
      <c r="D56" s="572"/>
      <c r="E56" s="573"/>
      <c r="F56" s="574"/>
      <c r="G56" s="572"/>
      <c r="H56" s="572"/>
      <c r="I56" s="572"/>
      <c r="J56" s="574"/>
      <c r="K56" s="576"/>
      <c r="L56" s="572"/>
      <c r="M56" s="572"/>
      <c r="N56" s="577"/>
      <c r="O56" s="142"/>
      <c r="P56" s="142"/>
      <c r="Q56" s="142"/>
      <c r="R56" s="577"/>
      <c r="S56" s="586"/>
      <c r="T56" s="586"/>
      <c r="U56" s="586"/>
      <c r="V56" s="586"/>
      <c r="W56" s="587"/>
      <c r="Z56" s="369">
        <v>0</v>
      </c>
    </row>
    <row r="57" spans="1:26">
      <c r="A57" s="367">
        <v>57</v>
      </c>
      <c r="B57" s="620" t="s">
        <v>57</v>
      </c>
      <c r="C57" s="629">
        <f>SUM(C58:C60)</f>
        <v>139819.34</v>
      </c>
      <c r="D57" s="574">
        <f>SUM(D58:D61)</f>
        <v>255977.27</v>
      </c>
      <c r="E57" s="621">
        <f>SUM(E58:E61)</f>
        <v>224125.02999999997</v>
      </c>
      <c r="F57" s="574">
        <f>SUM(F58:F61)</f>
        <v>619921.64</v>
      </c>
      <c r="G57" s="574">
        <f>SUM(G58:G60)</f>
        <v>0</v>
      </c>
      <c r="H57" s="574">
        <f t="shared" ref="H57:V57" si="21">SUM(H58:H61)</f>
        <v>0</v>
      </c>
      <c r="I57" s="574">
        <f t="shared" si="21"/>
        <v>0</v>
      </c>
      <c r="J57" s="574">
        <f t="shared" si="21"/>
        <v>0</v>
      </c>
      <c r="K57" s="577">
        <f t="shared" si="21"/>
        <v>0</v>
      </c>
      <c r="L57" s="574">
        <f t="shared" si="21"/>
        <v>0</v>
      </c>
      <c r="M57" s="572">
        <f t="shared" si="21"/>
        <v>0</v>
      </c>
      <c r="N57" s="577">
        <f t="shared" si="21"/>
        <v>0</v>
      </c>
      <c r="O57" s="574">
        <f t="shared" si="21"/>
        <v>0</v>
      </c>
      <c r="P57" s="574">
        <f t="shared" si="21"/>
        <v>0</v>
      </c>
      <c r="Q57" s="574">
        <f t="shared" si="21"/>
        <v>0</v>
      </c>
      <c r="R57" s="577">
        <f t="shared" si="21"/>
        <v>0</v>
      </c>
      <c r="S57" s="586">
        <f t="shared" si="21"/>
        <v>619921.64</v>
      </c>
      <c r="T57" s="586">
        <f t="shared" si="21"/>
        <v>619921.64</v>
      </c>
      <c r="U57" s="586">
        <f t="shared" si="21"/>
        <v>619921.64</v>
      </c>
      <c r="V57" s="586">
        <f t="shared" si="21"/>
        <v>619921.64</v>
      </c>
      <c r="W57" s="592">
        <f>SUM(W58:W60)</f>
        <v>2899812.4</v>
      </c>
      <c r="Z57" s="369">
        <v>2350060.4900000002</v>
      </c>
    </row>
    <row r="58" spans="1:26">
      <c r="A58" s="367">
        <v>58</v>
      </c>
      <c r="B58" s="623" t="s">
        <v>58</v>
      </c>
      <c r="C58" s="628">
        <f>67594.53</f>
        <v>67594.53</v>
      </c>
      <c r="D58" s="572">
        <f>106247.68+39026</f>
        <v>145273.68</v>
      </c>
      <c r="E58" s="573">
        <f>124352.17</f>
        <v>124352.17</v>
      </c>
      <c r="F58" s="574">
        <f t="shared" ref="F58:F92" si="22">SUM(C58:E58)</f>
        <v>337220.38</v>
      </c>
      <c r="G58" s="572"/>
      <c r="H58" s="572"/>
      <c r="I58" s="572"/>
      <c r="J58" s="574">
        <f t="shared" ref="J58:J92" si="23">SUM(G58:I58)</f>
        <v>0</v>
      </c>
      <c r="K58" s="576"/>
      <c r="L58" s="572"/>
      <c r="M58" s="572"/>
      <c r="N58" s="577">
        <f t="shared" ref="N58:N92" si="24">SUM(K58:M58)</f>
        <v>0</v>
      </c>
      <c r="O58" s="142"/>
      <c r="P58" s="142"/>
      <c r="Q58" s="142"/>
      <c r="R58" s="577">
        <f t="shared" ref="R58:R92" si="25">SUM(O58:Q58)</f>
        <v>0</v>
      </c>
      <c r="S58" s="586">
        <f t="shared" si="14"/>
        <v>337220.38</v>
      </c>
      <c r="T58" s="586">
        <f t="shared" si="15"/>
        <v>337220.38</v>
      </c>
      <c r="U58" s="586">
        <f t="shared" si="16"/>
        <v>337220.38</v>
      </c>
      <c r="V58" s="586">
        <f t="shared" si="17"/>
        <v>337220.38</v>
      </c>
      <c r="W58" s="587">
        <v>1635201.09</v>
      </c>
      <c r="Z58" s="369">
        <v>1122230.6300000001</v>
      </c>
    </row>
    <row r="59" spans="1:26">
      <c r="A59" s="367">
        <v>59</v>
      </c>
      <c r="B59" s="623" t="s">
        <v>59</v>
      </c>
      <c r="C59" s="609">
        <f>15000+7000+7000+20000</f>
        <v>49000</v>
      </c>
      <c r="D59" s="609">
        <f>20000+15000+7000+7000+7000+7000+4000</f>
        <v>67000</v>
      </c>
      <c r="E59" s="573">
        <f>65000</f>
        <v>65000</v>
      </c>
      <c r="F59" s="574">
        <f t="shared" si="22"/>
        <v>181000</v>
      </c>
      <c r="G59" s="572"/>
      <c r="H59" s="572"/>
      <c r="I59" s="572"/>
      <c r="J59" s="574">
        <f t="shared" si="23"/>
        <v>0</v>
      </c>
      <c r="K59" s="576"/>
      <c r="L59" s="572"/>
      <c r="M59" s="572"/>
      <c r="N59" s="577">
        <f t="shared" si="24"/>
        <v>0</v>
      </c>
      <c r="O59" s="142"/>
      <c r="P59" s="142"/>
      <c r="Q59" s="142"/>
      <c r="R59" s="577">
        <f t="shared" si="25"/>
        <v>0</v>
      </c>
      <c r="S59" s="586">
        <f t="shared" si="14"/>
        <v>181000</v>
      </c>
      <c r="T59" s="586">
        <f t="shared" si="15"/>
        <v>181000</v>
      </c>
      <c r="U59" s="586">
        <f t="shared" si="16"/>
        <v>181000</v>
      </c>
      <c r="V59" s="586">
        <f t="shared" si="17"/>
        <v>181000</v>
      </c>
      <c r="W59" s="587">
        <f>420000+370000</f>
        <v>790000</v>
      </c>
      <c r="Z59" s="369">
        <v>464500</v>
      </c>
    </row>
    <row r="60" spans="1:26">
      <c r="A60" s="367">
        <v>60</v>
      </c>
      <c r="B60" s="623" t="s">
        <v>139</v>
      </c>
      <c r="C60" s="609">
        <f>23224.81</f>
        <v>23224.81</v>
      </c>
      <c r="D60" s="572">
        <f>43703.59</f>
        <v>43703.59</v>
      </c>
      <c r="E60" s="573">
        <f>34772.86</f>
        <v>34772.86</v>
      </c>
      <c r="F60" s="574">
        <f t="shared" si="22"/>
        <v>101701.26</v>
      </c>
      <c r="G60" s="572"/>
      <c r="H60" s="572"/>
      <c r="I60" s="572"/>
      <c r="J60" s="574">
        <f t="shared" si="23"/>
        <v>0</v>
      </c>
      <c r="K60" s="559"/>
      <c r="L60" s="572"/>
      <c r="M60" s="572"/>
      <c r="N60" s="577">
        <f t="shared" si="24"/>
        <v>0</v>
      </c>
      <c r="O60" s="142"/>
      <c r="P60" s="142"/>
      <c r="Q60" s="142"/>
      <c r="R60" s="577">
        <f t="shared" si="25"/>
        <v>0</v>
      </c>
      <c r="S60" s="586">
        <f t="shared" si="14"/>
        <v>101701.26</v>
      </c>
      <c r="T60" s="586">
        <f t="shared" si="15"/>
        <v>101701.26</v>
      </c>
      <c r="U60" s="586">
        <f t="shared" si="16"/>
        <v>101701.26</v>
      </c>
      <c r="V60" s="586">
        <f t="shared" si="17"/>
        <v>101701.26</v>
      </c>
      <c r="W60" s="587">
        <v>474611.31</v>
      </c>
      <c r="Z60" s="369">
        <v>266779.86</v>
      </c>
    </row>
    <row r="61" spans="1:26">
      <c r="A61" s="367">
        <v>61</v>
      </c>
      <c r="B61" s="623" t="s">
        <v>167</v>
      </c>
      <c r="C61" s="609"/>
      <c r="D61" s="572"/>
      <c r="E61" s="573"/>
      <c r="F61" s="574">
        <f>SUM(C61:E61)</f>
        <v>0</v>
      </c>
      <c r="G61" s="572"/>
      <c r="H61" s="572"/>
      <c r="I61" s="572"/>
      <c r="J61" s="574">
        <f>SUM(G61:I61)</f>
        <v>0</v>
      </c>
      <c r="K61" s="576"/>
      <c r="L61" s="572"/>
      <c r="M61" s="572"/>
      <c r="N61" s="577">
        <f>SUM(K61:M61)</f>
        <v>0</v>
      </c>
      <c r="O61" s="142"/>
      <c r="P61" s="142"/>
      <c r="Q61" s="142"/>
      <c r="R61" s="577">
        <f>SUM(O61:Q61)</f>
        <v>0</v>
      </c>
      <c r="S61" s="586">
        <f>F61</f>
        <v>0</v>
      </c>
      <c r="T61" s="586">
        <f>F61+J61</f>
        <v>0</v>
      </c>
      <c r="U61" s="586">
        <f>F61+J61+N61</f>
        <v>0</v>
      </c>
      <c r="V61" s="586">
        <f>F61+J61+N61+R61</f>
        <v>0</v>
      </c>
      <c r="W61" s="587"/>
      <c r="Z61" s="369">
        <v>496550</v>
      </c>
    </row>
    <row r="62" spans="1:26">
      <c r="A62" s="367">
        <v>62</v>
      </c>
      <c r="B62" s="620" t="s">
        <v>60</v>
      </c>
      <c r="C62" s="629">
        <f>SUM(C64:C79)</f>
        <v>108354.03</v>
      </c>
      <c r="D62" s="574">
        <f>SUM(D64:D79)</f>
        <v>54914.189250000003</v>
      </c>
      <c r="E62" s="621">
        <f>SUM(E64:E80)</f>
        <v>45361.020000000004</v>
      </c>
      <c r="F62" s="574">
        <f>SUM(F64:F80)</f>
        <v>208629.23925000001</v>
      </c>
      <c r="G62" s="574">
        <f>SUM(G64:G79)</f>
        <v>0</v>
      </c>
      <c r="H62" s="574">
        <f>SUM(H64:H79)</f>
        <v>0</v>
      </c>
      <c r="I62" s="574">
        <f>SUM(I64:I79)</f>
        <v>0</v>
      </c>
      <c r="J62" s="574">
        <f>SUM(J64:J79)</f>
        <v>0</v>
      </c>
      <c r="K62" s="577">
        <f>SUM(K64:K80)</f>
        <v>0</v>
      </c>
      <c r="L62" s="574">
        <f>SUM(L64:L79)</f>
        <v>0</v>
      </c>
      <c r="M62" s="572">
        <f t="shared" ref="M62:R62" si="26">SUM(M64:M80)</f>
        <v>0</v>
      </c>
      <c r="N62" s="577">
        <f t="shared" si="26"/>
        <v>0</v>
      </c>
      <c r="O62" s="574">
        <f t="shared" si="26"/>
        <v>0</v>
      </c>
      <c r="P62" s="574">
        <f t="shared" si="26"/>
        <v>0</v>
      </c>
      <c r="Q62" s="574">
        <f t="shared" si="26"/>
        <v>0</v>
      </c>
      <c r="R62" s="577">
        <f t="shared" si="26"/>
        <v>0</v>
      </c>
      <c r="S62" s="586">
        <f>F62</f>
        <v>208629.23925000001</v>
      </c>
      <c r="T62" s="586">
        <f>F62+J62</f>
        <v>208629.23925000001</v>
      </c>
      <c r="U62" s="586">
        <f>F62+J62+N62</f>
        <v>208629.23925000001</v>
      </c>
      <c r="V62" s="586">
        <f>F62+J62+N62+R62</f>
        <v>208629.23925000001</v>
      </c>
      <c r="W62" s="592">
        <f>SUM(W63:W80)</f>
        <v>1068600</v>
      </c>
      <c r="Z62" s="369">
        <v>809411.77</v>
      </c>
    </row>
    <row r="63" spans="1:26">
      <c r="A63" s="367">
        <v>63</v>
      </c>
      <c r="B63" s="623" t="s">
        <v>213</v>
      </c>
      <c r="C63" s="609"/>
      <c r="D63" s="572"/>
      <c r="E63" s="573"/>
      <c r="F63" s="574">
        <f>SUM(C63:E63)</f>
        <v>0</v>
      </c>
      <c r="G63" s="572"/>
      <c r="H63" s="572"/>
      <c r="I63" s="572"/>
      <c r="J63" s="574">
        <f>SUM(G63:I63)</f>
        <v>0</v>
      </c>
      <c r="K63" s="576"/>
      <c r="L63" s="572"/>
      <c r="M63" s="572"/>
      <c r="N63" s="577">
        <f>SUM(K63:M63)</f>
        <v>0</v>
      </c>
      <c r="O63" s="142"/>
      <c r="P63" s="142"/>
      <c r="Q63" s="142"/>
      <c r="R63" s="577">
        <f>SUM(O63:Q63)</f>
        <v>0</v>
      </c>
      <c r="S63" s="586">
        <f>F63</f>
        <v>0</v>
      </c>
      <c r="T63" s="586">
        <f>F63+J63</f>
        <v>0</v>
      </c>
      <c r="U63" s="586">
        <f>F63+J63+N63</f>
        <v>0</v>
      </c>
      <c r="V63" s="586">
        <f>F63+J63+N63+R63</f>
        <v>0</v>
      </c>
      <c r="W63" s="587">
        <v>200000</v>
      </c>
      <c r="Z63" s="369"/>
    </row>
    <row r="64" spans="1:26">
      <c r="A64" s="367">
        <v>64</v>
      </c>
      <c r="B64" s="623" t="s">
        <v>78</v>
      </c>
      <c r="C64" s="609">
        <f>75+3.21+50+50+60+4.5+100+50+50+132+100+976.11+73.21+100+50</f>
        <v>1874.0300000000002</v>
      </c>
      <c r="D64" s="602">
        <f>32+6+50+100+50+40+3+50+50+50+100+50+50+50+160+858.78+64.41+100+50</f>
        <v>1914.19</v>
      </c>
      <c r="E64" s="630">
        <f>56+9.31+100+100+40+3+100+50+50+50+50+50+2500+187.5+50+124+100+63.57+847.64+100</f>
        <v>4631.0200000000004</v>
      </c>
      <c r="F64" s="574">
        <f t="shared" si="22"/>
        <v>8419.2400000000016</v>
      </c>
      <c r="G64" s="572"/>
      <c r="H64" s="572"/>
      <c r="I64" s="572"/>
      <c r="J64" s="574">
        <f t="shared" si="23"/>
        <v>0</v>
      </c>
      <c r="K64" s="576"/>
      <c r="L64" s="572"/>
      <c r="M64" s="572"/>
      <c r="N64" s="577">
        <f t="shared" si="24"/>
        <v>0</v>
      </c>
      <c r="O64" s="631"/>
      <c r="P64" s="142"/>
      <c r="Q64" s="142"/>
      <c r="R64" s="577">
        <f t="shared" si="25"/>
        <v>0</v>
      </c>
      <c r="S64" s="586">
        <f t="shared" si="14"/>
        <v>8419.2400000000016</v>
      </c>
      <c r="T64" s="586">
        <f t="shared" si="15"/>
        <v>8419.2400000000016</v>
      </c>
      <c r="U64" s="586">
        <f t="shared" si="16"/>
        <v>8419.2400000000016</v>
      </c>
      <c r="V64" s="586">
        <f t="shared" si="17"/>
        <v>8419.2400000000016</v>
      </c>
      <c r="W64" s="587">
        <v>22000</v>
      </c>
      <c r="Z64" s="369">
        <v>20986.770000000004</v>
      </c>
    </row>
    <row r="65" spans="1:26">
      <c r="A65" s="367">
        <v>65</v>
      </c>
      <c r="B65" s="623" t="s">
        <v>62</v>
      </c>
      <c r="C65" s="609">
        <f>2000</f>
        <v>2000</v>
      </c>
      <c r="D65" s="572">
        <f>2000+2000</f>
        <v>4000</v>
      </c>
      <c r="E65" s="573"/>
      <c r="F65" s="574">
        <f t="shared" si="22"/>
        <v>6000</v>
      </c>
      <c r="G65" s="572"/>
      <c r="H65" s="572"/>
      <c r="I65" s="572"/>
      <c r="J65" s="574">
        <f t="shared" si="23"/>
        <v>0</v>
      </c>
      <c r="K65" s="576"/>
      <c r="L65" s="572"/>
      <c r="M65" s="572"/>
      <c r="N65" s="577">
        <f t="shared" si="24"/>
        <v>0</v>
      </c>
      <c r="O65" s="142"/>
      <c r="P65" s="142"/>
      <c r="Q65" s="142"/>
      <c r="R65" s="577">
        <f t="shared" si="25"/>
        <v>0</v>
      </c>
      <c r="S65" s="586">
        <f t="shared" si="14"/>
        <v>6000</v>
      </c>
      <c r="T65" s="586">
        <f t="shared" si="15"/>
        <v>6000</v>
      </c>
      <c r="U65" s="586">
        <f t="shared" si="16"/>
        <v>6000</v>
      </c>
      <c r="V65" s="586">
        <f t="shared" si="17"/>
        <v>6000</v>
      </c>
      <c r="W65" s="587">
        <v>24000</v>
      </c>
      <c r="Z65" s="369">
        <v>20020</v>
      </c>
    </row>
    <row r="66" spans="1:26">
      <c r="A66" s="367">
        <v>66</v>
      </c>
      <c r="B66" s="623" t="s">
        <v>63</v>
      </c>
      <c r="C66" s="609">
        <f>-1070+6500+3500</f>
        <v>8930</v>
      </c>
      <c r="D66" s="572">
        <f>1000+3500</f>
        <v>4500</v>
      </c>
      <c r="E66" s="573">
        <f>15500+1200-110-1360</f>
        <v>15230</v>
      </c>
      <c r="F66" s="574">
        <f t="shared" si="22"/>
        <v>28660</v>
      </c>
      <c r="G66" s="572"/>
      <c r="H66" s="572"/>
      <c r="I66" s="572"/>
      <c r="J66" s="574">
        <f t="shared" si="23"/>
        <v>0</v>
      </c>
      <c r="K66" s="576"/>
      <c r="L66" s="572"/>
      <c r="M66" s="572"/>
      <c r="N66" s="577">
        <f t="shared" si="24"/>
        <v>0</v>
      </c>
      <c r="O66" s="142"/>
      <c r="P66" s="142"/>
      <c r="Q66" s="142"/>
      <c r="R66" s="577">
        <f t="shared" si="25"/>
        <v>0</v>
      </c>
      <c r="S66" s="586">
        <f t="shared" si="14"/>
        <v>28660</v>
      </c>
      <c r="T66" s="586">
        <f t="shared" si="15"/>
        <v>28660</v>
      </c>
      <c r="U66" s="586">
        <f t="shared" si="16"/>
        <v>28660</v>
      </c>
      <c r="V66" s="586">
        <f t="shared" si="17"/>
        <v>28660</v>
      </c>
      <c r="W66" s="587">
        <v>60000</v>
      </c>
      <c r="Z66" s="369">
        <v>80100</v>
      </c>
    </row>
    <row r="67" spans="1:26">
      <c r="A67" s="367">
        <v>67</v>
      </c>
      <c r="B67" s="623" t="s">
        <v>64</v>
      </c>
      <c r="C67" s="609"/>
      <c r="D67" s="572">
        <f>10000</f>
        <v>10000</v>
      </c>
      <c r="E67" s="573"/>
      <c r="F67" s="574">
        <f t="shared" si="22"/>
        <v>10000</v>
      </c>
      <c r="G67" s="572"/>
      <c r="H67" s="572"/>
      <c r="I67" s="572"/>
      <c r="J67" s="574">
        <f t="shared" si="23"/>
        <v>0</v>
      </c>
      <c r="K67" s="576"/>
      <c r="L67" s="572"/>
      <c r="M67" s="572"/>
      <c r="N67" s="577">
        <f t="shared" si="24"/>
        <v>0</v>
      </c>
      <c r="O67" s="142"/>
      <c r="P67" s="142"/>
      <c r="Q67" s="142"/>
      <c r="R67" s="577">
        <f t="shared" si="25"/>
        <v>0</v>
      </c>
      <c r="S67" s="586">
        <f t="shared" si="14"/>
        <v>10000</v>
      </c>
      <c r="T67" s="586">
        <f t="shared" si="15"/>
        <v>10000</v>
      </c>
      <c r="U67" s="586">
        <f t="shared" si="16"/>
        <v>10000</v>
      </c>
      <c r="V67" s="586">
        <f t="shared" si="17"/>
        <v>10000</v>
      </c>
      <c r="W67" s="587">
        <v>20000</v>
      </c>
      <c r="Z67" s="369">
        <v>11000</v>
      </c>
    </row>
    <row r="68" spans="1:26">
      <c r="A68" s="367">
        <v>68</v>
      </c>
      <c r="B68" s="623" t="s">
        <v>80</v>
      </c>
      <c r="C68" s="609">
        <v>5000</v>
      </c>
      <c r="D68" s="572"/>
      <c r="E68" s="573"/>
      <c r="F68" s="574">
        <f t="shared" si="22"/>
        <v>5000</v>
      </c>
      <c r="G68" s="572"/>
      <c r="H68" s="572"/>
      <c r="I68" s="572"/>
      <c r="J68" s="574">
        <f t="shared" si="23"/>
        <v>0</v>
      </c>
      <c r="K68" s="576"/>
      <c r="L68" s="572"/>
      <c r="M68" s="602"/>
      <c r="N68" s="325">
        <f t="shared" si="24"/>
        <v>0</v>
      </c>
      <c r="O68" s="148"/>
      <c r="P68" s="148"/>
      <c r="Q68" s="148"/>
      <c r="R68" s="325">
        <f t="shared" si="25"/>
        <v>0</v>
      </c>
      <c r="S68" s="608">
        <f t="shared" si="14"/>
        <v>5000</v>
      </c>
      <c r="T68" s="608">
        <f t="shared" si="15"/>
        <v>5000</v>
      </c>
      <c r="U68" s="608">
        <f t="shared" si="16"/>
        <v>5000</v>
      </c>
      <c r="V68" s="608">
        <f t="shared" si="17"/>
        <v>5000</v>
      </c>
      <c r="W68" s="587">
        <v>32000</v>
      </c>
      <c r="Z68" s="369">
        <v>0</v>
      </c>
    </row>
    <row r="69" spans="1:26">
      <c r="A69" s="367">
        <v>69</v>
      </c>
      <c r="B69" s="623" t="s">
        <v>79</v>
      </c>
      <c r="C69" s="609">
        <v>10000</v>
      </c>
      <c r="D69" s="572"/>
      <c r="E69" s="573"/>
      <c r="F69" s="574">
        <f t="shared" si="22"/>
        <v>10000</v>
      </c>
      <c r="G69" s="572"/>
      <c r="H69" s="572"/>
      <c r="I69" s="572"/>
      <c r="J69" s="574">
        <f t="shared" si="23"/>
        <v>0</v>
      </c>
      <c r="K69" s="576"/>
      <c r="L69" s="572"/>
      <c r="M69" s="572"/>
      <c r="N69" s="577">
        <f t="shared" si="24"/>
        <v>0</v>
      </c>
      <c r="O69" s="142"/>
      <c r="P69" s="142"/>
      <c r="Q69" s="142"/>
      <c r="R69" s="577">
        <f t="shared" si="25"/>
        <v>0</v>
      </c>
      <c r="S69" s="586">
        <f t="shared" si="14"/>
        <v>10000</v>
      </c>
      <c r="T69" s="586">
        <f t="shared" si="15"/>
        <v>10000</v>
      </c>
      <c r="U69" s="586">
        <f t="shared" si="16"/>
        <v>10000</v>
      </c>
      <c r="V69" s="586">
        <f t="shared" si="17"/>
        <v>10000</v>
      </c>
      <c r="W69" s="587">
        <v>48000</v>
      </c>
      <c r="Z69" s="369">
        <v>15000</v>
      </c>
    </row>
    <row r="70" spans="1:26" ht="31.5">
      <c r="A70" s="367">
        <v>70</v>
      </c>
      <c r="B70" s="627" t="s">
        <v>83</v>
      </c>
      <c r="C70" s="576">
        <f>165*110</f>
        <v>18150</v>
      </c>
      <c r="D70" s="142">
        <f>165*94.54545</f>
        <v>15599.999250000001</v>
      </c>
      <c r="E70" s="576">
        <f>165*94.55-0.75</f>
        <v>15600</v>
      </c>
      <c r="F70" s="574">
        <f t="shared" si="22"/>
        <v>49349.999250000001</v>
      </c>
      <c r="G70" s="576"/>
      <c r="H70" s="572"/>
      <c r="I70" s="572"/>
      <c r="J70" s="574">
        <f t="shared" si="23"/>
        <v>0</v>
      </c>
      <c r="K70" s="576"/>
      <c r="L70" s="576"/>
      <c r="M70" s="633"/>
      <c r="N70" s="577">
        <f t="shared" si="24"/>
        <v>0</v>
      </c>
      <c r="O70" s="633"/>
      <c r="P70" s="142"/>
      <c r="Q70" s="142"/>
      <c r="R70" s="577">
        <f t="shared" si="25"/>
        <v>0</v>
      </c>
      <c r="S70" s="586">
        <f t="shared" si="14"/>
        <v>49349.999250000001</v>
      </c>
      <c r="T70" s="586">
        <f t="shared" si="15"/>
        <v>49349.999250000001</v>
      </c>
      <c r="U70" s="586">
        <f t="shared" si="16"/>
        <v>49349.999250000001</v>
      </c>
      <c r="V70" s="586">
        <f t="shared" si="17"/>
        <v>49349.999250000001</v>
      </c>
      <c r="W70" s="587">
        <v>265835.15999999997</v>
      </c>
      <c r="Z70" s="369">
        <v>148225</v>
      </c>
    </row>
    <row r="71" spans="1:26">
      <c r="A71" s="367">
        <v>71</v>
      </c>
      <c r="B71" s="623" t="s">
        <v>82</v>
      </c>
      <c r="C71" s="576">
        <f>(165*60)+6200</f>
        <v>16100</v>
      </c>
      <c r="D71" s="142">
        <f>(165*60)+2500+4000</f>
        <v>16400</v>
      </c>
      <c r="E71" s="576">
        <f>(165*60)</f>
        <v>9900</v>
      </c>
      <c r="F71" s="574">
        <f t="shared" si="22"/>
        <v>42400</v>
      </c>
      <c r="G71" s="576"/>
      <c r="H71" s="572"/>
      <c r="I71" s="572"/>
      <c r="J71" s="626">
        <f t="shared" si="23"/>
        <v>0</v>
      </c>
      <c r="K71" s="576"/>
      <c r="L71" s="576"/>
      <c r="M71" s="633"/>
      <c r="N71" s="577">
        <f t="shared" si="24"/>
        <v>0</v>
      </c>
      <c r="O71" s="633"/>
      <c r="P71" s="142"/>
      <c r="Q71" s="142"/>
      <c r="R71" s="577">
        <f t="shared" si="25"/>
        <v>0</v>
      </c>
      <c r="S71" s="586">
        <f>F71</f>
        <v>42400</v>
      </c>
      <c r="T71" s="586">
        <f>F71+J71</f>
        <v>42400</v>
      </c>
      <c r="U71" s="586">
        <f>F71+J71+N71</f>
        <v>42400</v>
      </c>
      <c r="V71" s="586">
        <f>F71+J71+N71+R71</f>
        <v>42400</v>
      </c>
      <c r="W71" s="587">
        <v>110764.84</v>
      </c>
      <c r="Z71" s="369">
        <v>105890</v>
      </c>
    </row>
    <row r="72" spans="1:26">
      <c r="A72" s="367">
        <v>72</v>
      </c>
      <c r="B72" s="623" t="s">
        <v>65</v>
      </c>
      <c r="C72" s="634"/>
      <c r="D72" s="634"/>
      <c r="E72" s="635"/>
      <c r="F72" s="574">
        <f t="shared" si="22"/>
        <v>0</v>
      </c>
      <c r="G72" s="572"/>
      <c r="H72" s="572"/>
      <c r="I72" s="572"/>
      <c r="J72" s="574">
        <f t="shared" si="23"/>
        <v>0</v>
      </c>
      <c r="K72" s="576"/>
      <c r="L72" s="572"/>
      <c r="M72" s="572"/>
      <c r="N72" s="577">
        <f t="shared" si="24"/>
        <v>0</v>
      </c>
      <c r="O72" s="142"/>
      <c r="P72" s="142"/>
      <c r="Q72" s="142"/>
      <c r="R72" s="577">
        <f t="shared" si="25"/>
        <v>0</v>
      </c>
      <c r="S72" s="586">
        <f>F72</f>
        <v>0</v>
      </c>
      <c r="T72" s="586">
        <f>F72+J72</f>
        <v>0</v>
      </c>
      <c r="U72" s="586">
        <f>F72+J72+N72</f>
        <v>0</v>
      </c>
      <c r="V72" s="586">
        <f>F72+J72+N72+R72</f>
        <v>0</v>
      </c>
      <c r="W72" s="587"/>
      <c r="Z72" s="369">
        <v>0</v>
      </c>
    </row>
    <row r="73" spans="1:26">
      <c r="A73" s="367">
        <v>73</v>
      </c>
      <c r="B73" s="623" t="s">
        <v>85</v>
      </c>
      <c r="C73" s="609"/>
      <c r="D73" s="572"/>
      <c r="E73" s="573"/>
      <c r="F73" s="574">
        <f t="shared" si="22"/>
        <v>0</v>
      </c>
      <c r="G73" s="572"/>
      <c r="H73" s="729"/>
      <c r="I73" s="572"/>
      <c r="J73" s="574">
        <f t="shared" si="23"/>
        <v>0</v>
      </c>
      <c r="K73" s="576"/>
      <c r="L73" s="559"/>
      <c r="M73" s="572"/>
      <c r="N73" s="577">
        <f t="shared" si="24"/>
        <v>0</v>
      </c>
      <c r="O73" s="142"/>
      <c r="P73" s="142"/>
      <c r="Q73" s="142"/>
      <c r="R73" s="577">
        <f t="shared" si="25"/>
        <v>0</v>
      </c>
      <c r="S73" s="586">
        <f>F73</f>
        <v>0</v>
      </c>
      <c r="T73" s="586">
        <f>F73+J73</f>
        <v>0</v>
      </c>
      <c r="U73" s="586">
        <f>F73+J73+N73</f>
        <v>0</v>
      </c>
      <c r="V73" s="586">
        <f>F73+J73+N73+R73</f>
        <v>0</v>
      </c>
      <c r="W73" s="587">
        <v>6000</v>
      </c>
      <c r="Z73" s="369">
        <v>8800</v>
      </c>
    </row>
    <row r="74" spans="1:26" ht="31.5">
      <c r="A74" s="367">
        <v>74</v>
      </c>
      <c r="B74" s="627" t="s">
        <v>216</v>
      </c>
      <c r="C74" s="605">
        <v>2500</v>
      </c>
      <c r="D74" s="572">
        <f>2500</f>
        <v>2500</v>
      </c>
      <c r="E74" s="573"/>
      <c r="F74" s="636">
        <f t="shared" ref="F74:F79" si="27">SUM(C74:E74)</f>
        <v>5000</v>
      </c>
      <c r="G74" s="602"/>
      <c r="H74" s="602"/>
      <c r="I74" s="602"/>
      <c r="J74" s="636">
        <f t="shared" ref="J74:J79" si="28">SUM(G74:I74)</f>
        <v>0</v>
      </c>
      <c r="K74" s="145"/>
      <c r="L74" s="637"/>
      <c r="M74" s="602"/>
      <c r="N74" s="325">
        <f t="shared" ref="N74:N79" si="29">SUM(K74:M74)</f>
        <v>0</v>
      </c>
      <c r="O74" s="148"/>
      <c r="P74" s="612"/>
      <c r="Q74" s="148"/>
      <c r="R74" s="577">
        <f t="shared" ref="R74:R79" si="30">SUM(O74:Q74)</f>
        <v>0</v>
      </c>
      <c r="S74" s="608">
        <f t="shared" ref="S74:S79" si="31">F74</f>
        <v>5000</v>
      </c>
      <c r="T74" s="608">
        <f t="shared" ref="T74:T79" si="32">F74+J74</f>
        <v>5000</v>
      </c>
      <c r="U74" s="608">
        <f t="shared" ref="U74:U79" si="33">F74+J74+N74</f>
        <v>5000</v>
      </c>
      <c r="V74" s="608">
        <f t="shared" ref="V74:V79" si="34">F74+J74+N74+R74</f>
        <v>5000</v>
      </c>
      <c r="W74" s="587">
        <v>50000</v>
      </c>
      <c r="Z74" s="369">
        <v>90390</v>
      </c>
    </row>
    <row r="75" spans="1:26">
      <c r="A75" s="367">
        <v>75</v>
      </c>
      <c r="B75" s="623" t="s">
        <v>206</v>
      </c>
      <c r="C75" s="609">
        <v>3800</v>
      </c>
      <c r="D75" s="572"/>
      <c r="E75" s="573"/>
      <c r="F75" s="574">
        <f t="shared" si="27"/>
        <v>3800</v>
      </c>
      <c r="G75" s="572"/>
      <c r="H75" s="572"/>
      <c r="I75" s="572"/>
      <c r="J75" s="574">
        <f t="shared" si="28"/>
        <v>0</v>
      </c>
      <c r="K75" s="576"/>
      <c r="L75" s="559"/>
      <c r="M75" s="572"/>
      <c r="N75" s="577">
        <f t="shared" si="29"/>
        <v>0</v>
      </c>
      <c r="O75" s="142"/>
      <c r="P75" s="142"/>
      <c r="Q75" s="142"/>
      <c r="R75" s="577">
        <f t="shared" si="30"/>
        <v>0</v>
      </c>
      <c r="S75" s="586">
        <f t="shared" si="31"/>
        <v>3800</v>
      </c>
      <c r="T75" s="586">
        <f t="shared" si="32"/>
        <v>3800</v>
      </c>
      <c r="U75" s="586">
        <f t="shared" si="33"/>
        <v>3800</v>
      </c>
      <c r="V75" s="586">
        <f t="shared" si="34"/>
        <v>3800</v>
      </c>
      <c r="W75" s="587"/>
      <c r="Z75" s="369">
        <v>22000</v>
      </c>
    </row>
    <row r="76" spans="1:26">
      <c r="A76" s="367">
        <v>76</v>
      </c>
      <c r="B76" s="627" t="s">
        <v>61</v>
      </c>
      <c r="C76" s="638"/>
      <c r="D76" s="572"/>
      <c r="E76" s="573"/>
      <c r="F76" s="574">
        <f t="shared" si="27"/>
        <v>0</v>
      </c>
      <c r="G76" s="572"/>
      <c r="H76" s="572"/>
      <c r="I76" s="572"/>
      <c r="J76" s="574">
        <f t="shared" si="28"/>
        <v>0</v>
      </c>
      <c r="K76" s="576"/>
      <c r="L76" s="559"/>
      <c r="M76" s="572"/>
      <c r="N76" s="577">
        <f t="shared" si="29"/>
        <v>0</v>
      </c>
      <c r="O76" s="142"/>
      <c r="P76" s="142"/>
      <c r="Q76" s="142"/>
      <c r="R76" s="577">
        <f t="shared" si="30"/>
        <v>0</v>
      </c>
      <c r="S76" s="586">
        <f t="shared" si="31"/>
        <v>0</v>
      </c>
      <c r="T76" s="586">
        <f t="shared" si="32"/>
        <v>0</v>
      </c>
      <c r="U76" s="586">
        <f t="shared" si="33"/>
        <v>0</v>
      </c>
      <c r="V76" s="586">
        <f t="shared" si="34"/>
        <v>0</v>
      </c>
      <c r="W76" s="587">
        <v>25000</v>
      </c>
      <c r="Z76" s="369">
        <v>30500</v>
      </c>
    </row>
    <row r="77" spans="1:26">
      <c r="A77" s="367">
        <v>77</v>
      </c>
      <c r="B77" s="623" t="s">
        <v>81</v>
      </c>
      <c r="C77" s="609"/>
      <c r="D77" s="572"/>
      <c r="E77" s="573"/>
      <c r="F77" s="574">
        <f t="shared" si="27"/>
        <v>0</v>
      </c>
      <c r="G77" s="572"/>
      <c r="H77" s="572"/>
      <c r="I77" s="572"/>
      <c r="J77" s="574">
        <f t="shared" si="28"/>
        <v>0</v>
      </c>
      <c r="K77" s="576"/>
      <c r="L77" s="559"/>
      <c r="M77" s="572"/>
      <c r="N77" s="577">
        <f t="shared" si="29"/>
        <v>0</v>
      </c>
      <c r="O77" s="559"/>
      <c r="P77" s="639"/>
      <c r="Q77" s="142"/>
      <c r="R77" s="577">
        <f>SUM(O77:Q77)</f>
        <v>0</v>
      </c>
      <c r="S77" s="586">
        <f t="shared" si="31"/>
        <v>0</v>
      </c>
      <c r="T77" s="586">
        <f t="shared" si="32"/>
        <v>0</v>
      </c>
      <c r="U77" s="586">
        <f t="shared" si="33"/>
        <v>0</v>
      </c>
      <c r="V77" s="586">
        <f t="shared" si="34"/>
        <v>0</v>
      </c>
      <c r="W77" s="587">
        <v>150000</v>
      </c>
      <c r="Z77" s="369">
        <v>205000</v>
      </c>
    </row>
    <row r="78" spans="1:26">
      <c r="A78" s="367">
        <v>78</v>
      </c>
      <c r="B78" s="623" t="s">
        <v>91</v>
      </c>
      <c r="C78" s="628"/>
      <c r="D78" s="581"/>
      <c r="E78" s="573"/>
      <c r="F78" s="574">
        <f t="shared" si="27"/>
        <v>0</v>
      </c>
      <c r="G78" s="572"/>
      <c r="H78" s="572"/>
      <c r="I78" s="572"/>
      <c r="J78" s="574">
        <f t="shared" si="28"/>
        <v>0</v>
      </c>
      <c r="K78" s="576"/>
      <c r="L78" s="559"/>
      <c r="M78" s="572"/>
      <c r="N78" s="577">
        <f t="shared" si="29"/>
        <v>0</v>
      </c>
      <c r="O78" s="142"/>
      <c r="P78" s="142"/>
      <c r="Q78" s="142"/>
      <c r="R78" s="577">
        <f t="shared" si="30"/>
        <v>0</v>
      </c>
      <c r="S78" s="586">
        <f t="shared" si="31"/>
        <v>0</v>
      </c>
      <c r="T78" s="586">
        <f t="shared" si="32"/>
        <v>0</v>
      </c>
      <c r="U78" s="586">
        <f t="shared" si="33"/>
        <v>0</v>
      </c>
      <c r="V78" s="586">
        <f t="shared" si="34"/>
        <v>0</v>
      </c>
      <c r="W78" s="587">
        <v>5000</v>
      </c>
      <c r="Z78" s="369">
        <v>5000</v>
      </c>
    </row>
    <row r="79" spans="1:26" ht="22.5" customHeight="1">
      <c r="A79" s="367">
        <v>79</v>
      </c>
      <c r="B79" s="627" t="s">
        <v>225</v>
      </c>
      <c r="C79" s="609">
        <f>40000</f>
        <v>40000</v>
      </c>
      <c r="D79" s="572"/>
      <c r="E79" s="630"/>
      <c r="F79" s="636">
        <f t="shared" si="27"/>
        <v>40000</v>
      </c>
      <c r="G79" s="602"/>
      <c r="H79" s="602"/>
      <c r="I79" s="602"/>
      <c r="J79" s="640">
        <f t="shared" si="28"/>
        <v>0</v>
      </c>
      <c r="K79" s="145"/>
      <c r="L79" s="602"/>
      <c r="M79" s="602"/>
      <c r="N79" s="325">
        <f t="shared" si="29"/>
        <v>0</v>
      </c>
      <c r="O79" s="148"/>
      <c r="P79" s="148"/>
      <c r="Q79" s="148"/>
      <c r="R79" s="325">
        <f t="shared" si="30"/>
        <v>0</v>
      </c>
      <c r="S79" s="608">
        <f t="shared" si="31"/>
        <v>40000</v>
      </c>
      <c r="T79" s="608">
        <f t="shared" si="32"/>
        <v>40000</v>
      </c>
      <c r="U79" s="608">
        <f t="shared" si="33"/>
        <v>40000</v>
      </c>
      <c r="V79" s="608">
        <f t="shared" si="34"/>
        <v>40000</v>
      </c>
      <c r="W79" s="587">
        <v>50000</v>
      </c>
      <c r="Z79" s="369">
        <v>46500</v>
      </c>
    </row>
    <row r="80" spans="1:26">
      <c r="A80" s="367">
        <v>80</v>
      </c>
      <c r="B80" s="623"/>
      <c r="C80" s="609"/>
      <c r="D80" s="572"/>
      <c r="E80" s="573"/>
      <c r="F80" s="636"/>
      <c r="G80" s="602"/>
      <c r="H80" s="602"/>
      <c r="I80" s="602"/>
      <c r="J80" s="640"/>
      <c r="K80" s="145"/>
      <c r="L80" s="602"/>
      <c r="M80" s="602"/>
      <c r="N80" s="325"/>
      <c r="O80" s="148"/>
      <c r="P80" s="148"/>
      <c r="Q80" s="148"/>
      <c r="R80" s="325"/>
      <c r="S80" s="608"/>
      <c r="T80" s="608"/>
      <c r="U80" s="608"/>
      <c r="V80" s="608"/>
      <c r="W80" s="587"/>
      <c r="Z80" s="369"/>
    </row>
    <row r="81" spans="1:26">
      <c r="A81" s="367">
        <v>81</v>
      </c>
      <c r="B81" s="620" t="s">
        <v>66</v>
      </c>
      <c r="C81" s="641">
        <f>SUM(C82:C87)</f>
        <v>737208</v>
      </c>
      <c r="D81" s="641">
        <f>SUM(D82:D87)</f>
        <v>1100636.3799999999</v>
      </c>
      <c r="E81" s="642">
        <f t="shared" ref="E81:R81" si="35">SUM(E82:E87)</f>
        <v>751311.5</v>
      </c>
      <c r="F81" s="641">
        <f t="shared" si="35"/>
        <v>2589155.88</v>
      </c>
      <c r="G81" s="641">
        <f t="shared" si="35"/>
        <v>0</v>
      </c>
      <c r="H81" s="641">
        <f>SUM(H82:H87)</f>
        <v>0</v>
      </c>
      <c r="I81" s="641">
        <f>SUM(I82:I87)</f>
        <v>0</v>
      </c>
      <c r="J81" s="641">
        <f t="shared" si="35"/>
        <v>0</v>
      </c>
      <c r="K81" s="643">
        <f>SUM(K82:K87)</f>
        <v>0</v>
      </c>
      <c r="L81" s="641">
        <f t="shared" si="35"/>
        <v>0</v>
      </c>
      <c r="M81" s="641">
        <f>SUM(M82:M87)</f>
        <v>0</v>
      </c>
      <c r="N81" s="641">
        <f>SUM(N82:N87)</f>
        <v>0</v>
      </c>
      <c r="O81" s="641">
        <f>SUM(O82:O87)</f>
        <v>0</v>
      </c>
      <c r="P81" s="641">
        <f t="shared" si="35"/>
        <v>0</v>
      </c>
      <c r="Q81" s="641">
        <f t="shared" si="35"/>
        <v>0</v>
      </c>
      <c r="R81" s="641">
        <f t="shared" si="35"/>
        <v>0</v>
      </c>
      <c r="S81" s="586">
        <f>SUM(S82:S87)</f>
        <v>2589155.88</v>
      </c>
      <c r="T81" s="586">
        <f>SUM(T82:T87)</f>
        <v>2589155.88</v>
      </c>
      <c r="U81" s="586">
        <f>SUM(U82:U87)</f>
        <v>2589155.88</v>
      </c>
      <c r="V81" s="586">
        <f>SUM(V82:V87)</f>
        <v>2589155.88</v>
      </c>
      <c r="W81" s="592">
        <f>SUM(W82:W88)</f>
        <v>4152000</v>
      </c>
      <c r="Z81" s="369">
        <v>1841010</v>
      </c>
    </row>
    <row r="82" spans="1:26">
      <c r="A82" s="367">
        <v>82</v>
      </c>
      <c r="B82" s="623" t="s">
        <v>86</v>
      </c>
      <c r="C82" s="609">
        <v>8</v>
      </c>
      <c r="D82" s="572">
        <f>53.75+50+52+26.88+53.75+100</f>
        <v>336.38</v>
      </c>
      <c r="E82" s="573">
        <f>50+50+53.75+50+50+53.75+124+50</f>
        <v>481.5</v>
      </c>
      <c r="F82" s="574">
        <f t="shared" si="22"/>
        <v>825.88</v>
      </c>
      <c r="G82" s="572"/>
      <c r="H82" s="572"/>
      <c r="I82" s="572"/>
      <c r="J82" s="574">
        <f t="shared" si="23"/>
        <v>0</v>
      </c>
      <c r="K82" s="576"/>
      <c r="L82" s="572"/>
      <c r="M82" s="572"/>
      <c r="N82" s="577">
        <f>SUM(K82:M82)</f>
        <v>0</v>
      </c>
      <c r="O82" s="142"/>
      <c r="P82" s="142"/>
      <c r="Q82" s="142"/>
      <c r="R82" s="577">
        <f>SUM(O82:Q82)</f>
        <v>0</v>
      </c>
      <c r="S82" s="586">
        <f t="shared" ref="S82:S112" si="36">F82</f>
        <v>825.88</v>
      </c>
      <c r="T82" s="586">
        <f t="shared" ref="T82:T87" si="37">F82+J82</f>
        <v>825.88</v>
      </c>
      <c r="U82" s="586">
        <f t="shared" ref="U82:U87" si="38">F82+J82+N82</f>
        <v>825.88</v>
      </c>
      <c r="V82" s="586">
        <f t="shared" ref="V82:V87" si="39">F82+J82+N82+R82</f>
        <v>825.88</v>
      </c>
      <c r="W82" s="587">
        <v>2000</v>
      </c>
      <c r="Z82" s="369">
        <v>1100</v>
      </c>
    </row>
    <row r="83" spans="1:26">
      <c r="A83" s="367">
        <v>83</v>
      </c>
      <c r="B83" s="623" t="s">
        <v>214</v>
      </c>
      <c r="C83" s="634"/>
      <c r="D83" s="572">
        <f>20000+300000</f>
        <v>320000</v>
      </c>
      <c r="E83" s="573">
        <f>197830+25000+13400-15000</f>
        <v>221230</v>
      </c>
      <c r="F83" s="574">
        <f t="shared" si="22"/>
        <v>541230</v>
      </c>
      <c r="G83" s="572"/>
      <c r="H83" s="572"/>
      <c r="I83" s="572"/>
      <c r="J83" s="574">
        <f t="shared" si="23"/>
        <v>0</v>
      </c>
      <c r="K83" s="576"/>
      <c r="L83" s="572"/>
      <c r="M83" s="572"/>
      <c r="N83" s="577">
        <f t="shared" si="24"/>
        <v>0</v>
      </c>
      <c r="O83" s="142"/>
      <c r="P83" s="142"/>
      <c r="Q83" s="142"/>
      <c r="R83" s="577">
        <f t="shared" si="25"/>
        <v>0</v>
      </c>
      <c r="S83" s="586">
        <f t="shared" si="36"/>
        <v>541230</v>
      </c>
      <c r="T83" s="586">
        <f t="shared" si="37"/>
        <v>541230</v>
      </c>
      <c r="U83" s="586">
        <f t="shared" si="38"/>
        <v>541230</v>
      </c>
      <c r="V83" s="586">
        <f t="shared" si="39"/>
        <v>541230</v>
      </c>
      <c r="W83" s="587">
        <v>650000</v>
      </c>
      <c r="Z83" s="369">
        <v>0</v>
      </c>
    </row>
    <row r="84" spans="1:26">
      <c r="A84" s="367">
        <v>84</v>
      </c>
      <c r="B84" s="623" t="s">
        <v>109</v>
      </c>
      <c r="C84" s="634"/>
      <c r="D84" s="572"/>
      <c r="E84" s="573"/>
      <c r="F84" s="574">
        <f t="shared" si="22"/>
        <v>0</v>
      </c>
      <c r="G84" s="572"/>
      <c r="H84" s="572"/>
      <c r="I84" s="572"/>
      <c r="J84" s="574">
        <f t="shared" si="23"/>
        <v>0</v>
      </c>
      <c r="K84" s="576"/>
      <c r="L84" s="572"/>
      <c r="M84" s="572"/>
      <c r="N84" s="577">
        <f t="shared" si="24"/>
        <v>0</v>
      </c>
      <c r="O84" s="142"/>
      <c r="P84" s="142"/>
      <c r="Q84" s="142"/>
      <c r="R84" s="577">
        <f t="shared" si="25"/>
        <v>0</v>
      </c>
      <c r="S84" s="586">
        <f t="shared" si="36"/>
        <v>0</v>
      </c>
      <c r="T84" s="586">
        <f t="shared" si="37"/>
        <v>0</v>
      </c>
      <c r="U84" s="586">
        <f t="shared" si="38"/>
        <v>0</v>
      </c>
      <c r="V84" s="586">
        <f t="shared" si="39"/>
        <v>0</v>
      </c>
      <c r="W84" s="587"/>
      <c r="Z84" s="369">
        <v>0</v>
      </c>
    </row>
    <row r="85" spans="1:26">
      <c r="A85" s="367">
        <v>85</v>
      </c>
      <c r="B85" s="623" t="s">
        <v>122</v>
      </c>
      <c r="C85" s="634"/>
      <c r="D85" s="572">
        <f>2600*8</f>
        <v>20800</v>
      </c>
      <c r="E85" s="573"/>
      <c r="F85" s="574">
        <f t="shared" si="22"/>
        <v>20800</v>
      </c>
      <c r="G85" s="572"/>
      <c r="H85" s="572"/>
      <c r="I85" s="572"/>
      <c r="J85" s="574">
        <f t="shared" si="23"/>
        <v>0</v>
      </c>
      <c r="K85" s="576"/>
      <c r="L85" s="572"/>
      <c r="M85" s="572"/>
      <c r="N85" s="577">
        <f>SUM(K85:M85)</f>
        <v>0</v>
      </c>
      <c r="O85" s="142"/>
      <c r="P85" s="142"/>
      <c r="Q85" s="142"/>
      <c r="R85" s="577">
        <f>SUM(O85:Q85)</f>
        <v>0</v>
      </c>
      <c r="S85" s="586">
        <f>F85</f>
        <v>20800</v>
      </c>
      <c r="T85" s="586">
        <f t="shared" si="37"/>
        <v>20800</v>
      </c>
      <c r="U85" s="586">
        <f t="shared" si="38"/>
        <v>20800</v>
      </c>
      <c r="V85" s="586">
        <f t="shared" si="39"/>
        <v>20800</v>
      </c>
      <c r="W85" s="587">
        <v>0</v>
      </c>
      <c r="Z85" s="369">
        <v>0</v>
      </c>
    </row>
    <row r="86" spans="1:26" s="646" customFormat="1">
      <c r="A86" s="367">
        <v>86</v>
      </c>
      <c r="B86" s="623" t="s">
        <v>221</v>
      </c>
      <c r="C86" s="644">
        <f>135200+192500+150000+259500</f>
        <v>737200</v>
      </c>
      <c r="D86" s="602">
        <f>515000+146500+100000-2000</f>
        <v>759500</v>
      </c>
      <c r="E86" s="630">
        <f>80000+89000+299000-25000-13400+100000</f>
        <v>529600</v>
      </c>
      <c r="F86" s="636">
        <f>SUM(C86:E86)</f>
        <v>2026300</v>
      </c>
      <c r="G86" s="602"/>
      <c r="H86" s="602"/>
      <c r="I86" s="602"/>
      <c r="J86" s="636">
        <f>SUM(G86:I86)</f>
        <v>0</v>
      </c>
      <c r="K86" s="145"/>
      <c r="L86" s="602"/>
      <c r="M86" s="602"/>
      <c r="N86" s="325">
        <f>SUM(K86:M86)</f>
        <v>0</v>
      </c>
      <c r="O86" s="145"/>
      <c r="P86" s="145"/>
      <c r="Q86" s="145"/>
      <c r="R86" s="325">
        <f>SUM(O86:Q86)</f>
        <v>0</v>
      </c>
      <c r="S86" s="645">
        <f>F86</f>
        <v>2026300</v>
      </c>
      <c r="T86" s="645">
        <f t="shared" si="37"/>
        <v>2026300</v>
      </c>
      <c r="U86" s="645">
        <f t="shared" si="38"/>
        <v>2026300</v>
      </c>
      <c r="V86" s="645">
        <f t="shared" si="39"/>
        <v>2026300</v>
      </c>
      <c r="W86" s="587">
        <v>3500000</v>
      </c>
      <c r="Z86" s="647">
        <v>1839910</v>
      </c>
    </row>
    <row r="87" spans="1:26">
      <c r="A87" s="367">
        <v>87</v>
      </c>
      <c r="B87" s="623" t="s">
        <v>195</v>
      </c>
      <c r="C87" s="609"/>
      <c r="D87" s="572"/>
      <c r="E87" s="573"/>
      <c r="F87" s="636">
        <f>SUM(C87:E87)</f>
        <v>0</v>
      </c>
      <c r="G87" s="602"/>
      <c r="H87" s="602"/>
      <c r="I87" s="602"/>
      <c r="J87" s="640">
        <f>SUM(G87:I87)</f>
        <v>0</v>
      </c>
      <c r="K87" s="145"/>
      <c r="L87" s="602"/>
      <c r="M87" s="602"/>
      <c r="N87" s="325">
        <f>SUM(K87:M87)</f>
        <v>0</v>
      </c>
      <c r="O87" s="148"/>
      <c r="P87" s="148"/>
      <c r="Q87" s="148"/>
      <c r="R87" s="325">
        <f>SUM(O87:Q87)</f>
        <v>0</v>
      </c>
      <c r="S87" s="608">
        <f>F87</f>
        <v>0</v>
      </c>
      <c r="T87" s="608">
        <f t="shared" si="37"/>
        <v>0</v>
      </c>
      <c r="U87" s="608">
        <f t="shared" si="38"/>
        <v>0</v>
      </c>
      <c r="V87" s="608">
        <f t="shared" si="39"/>
        <v>0</v>
      </c>
      <c r="W87" s="587"/>
      <c r="Z87" s="369">
        <v>0</v>
      </c>
    </row>
    <row r="88" spans="1:26">
      <c r="A88" s="367">
        <v>88</v>
      </c>
      <c r="B88" s="623"/>
      <c r="C88" s="690">
        <f>B4-60</f>
        <v>-60</v>
      </c>
      <c r="D88" s="572"/>
      <c r="E88" s="573"/>
      <c r="F88" s="574"/>
      <c r="G88" s="572"/>
      <c r="H88" s="572"/>
      <c r="I88" s="572"/>
      <c r="J88" s="574"/>
      <c r="K88" s="576"/>
      <c r="L88" s="572"/>
      <c r="M88" s="572"/>
      <c r="N88" s="577"/>
      <c r="O88" s="142"/>
      <c r="P88" s="142"/>
      <c r="Q88" s="142"/>
      <c r="R88" s="577"/>
      <c r="S88" s="586"/>
      <c r="T88" s="586"/>
      <c r="U88" s="586"/>
      <c r="V88" s="586"/>
      <c r="W88" s="587"/>
      <c r="Z88" s="369"/>
    </row>
    <row r="89" spans="1:26">
      <c r="A89" s="367">
        <v>89</v>
      </c>
      <c r="B89" s="620" t="s">
        <v>67</v>
      </c>
      <c r="C89" s="641">
        <f>SUM(C90:C92)</f>
        <v>0</v>
      </c>
      <c r="D89" s="641">
        <f>SUM(D90:D92)</f>
        <v>0</v>
      </c>
      <c r="E89" s="642">
        <f>SUM(E90:E92)</f>
        <v>418510.1</v>
      </c>
      <c r="F89" s="641">
        <f>SUM(F90:F92)</f>
        <v>418510.1</v>
      </c>
      <c r="G89" s="641">
        <f t="shared" ref="G89:Q89" si="40">SUM(G90:G92)</f>
        <v>0</v>
      </c>
      <c r="H89" s="641">
        <f t="shared" si="40"/>
        <v>0</v>
      </c>
      <c r="I89" s="641">
        <f t="shared" si="40"/>
        <v>0</v>
      </c>
      <c r="J89" s="641">
        <f t="shared" si="40"/>
        <v>0</v>
      </c>
      <c r="K89" s="643">
        <f t="shared" si="40"/>
        <v>0</v>
      </c>
      <c r="L89" s="641">
        <f t="shared" si="40"/>
        <v>0</v>
      </c>
      <c r="M89" s="641">
        <f t="shared" si="40"/>
        <v>0</v>
      </c>
      <c r="N89" s="648">
        <f>SUM(N90:N92)</f>
        <v>0</v>
      </c>
      <c r="O89" s="641">
        <f t="shared" si="40"/>
        <v>0</v>
      </c>
      <c r="P89" s="641">
        <f t="shared" si="40"/>
        <v>0</v>
      </c>
      <c r="Q89" s="641">
        <f t="shared" si="40"/>
        <v>0</v>
      </c>
      <c r="R89" s="648">
        <f>SUM(R90:R92)</f>
        <v>0</v>
      </c>
      <c r="S89" s="586">
        <f t="shared" si="36"/>
        <v>418510.1</v>
      </c>
      <c r="T89" s="586">
        <f>F89+J89</f>
        <v>418510.1</v>
      </c>
      <c r="U89" s="586">
        <f>F89+J89+N89</f>
        <v>418510.1</v>
      </c>
      <c r="V89" s="586">
        <f>F89+J89+N89+R89</f>
        <v>418510.1</v>
      </c>
      <c r="W89" s="592">
        <f>SUM(W90:W92)</f>
        <v>2421000</v>
      </c>
      <c r="Z89" s="369">
        <v>1896466.1</v>
      </c>
    </row>
    <row r="90" spans="1:26" ht="31.5">
      <c r="A90" s="367">
        <v>90</v>
      </c>
      <c r="B90" s="627" t="s">
        <v>222</v>
      </c>
      <c r="C90" s="609"/>
      <c r="D90" s="572"/>
      <c r="E90" s="573">
        <f>17153.55+24697.41</f>
        <v>41850.959999999999</v>
      </c>
      <c r="F90" s="574">
        <f t="shared" si="22"/>
        <v>41850.959999999999</v>
      </c>
      <c r="G90" s="581"/>
      <c r="H90" s="572"/>
      <c r="I90" s="572"/>
      <c r="J90" s="574">
        <f t="shared" si="23"/>
        <v>0</v>
      </c>
      <c r="K90" s="576"/>
      <c r="L90" s="572"/>
      <c r="M90" s="572"/>
      <c r="N90" s="577">
        <f>SUM(K90:M90)</f>
        <v>0</v>
      </c>
      <c r="O90" s="142"/>
      <c r="P90" s="142"/>
      <c r="Q90" s="142"/>
      <c r="R90" s="577">
        <f t="shared" si="25"/>
        <v>0</v>
      </c>
      <c r="S90" s="586">
        <f t="shared" si="36"/>
        <v>41850.959999999999</v>
      </c>
      <c r="T90" s="586">
        <f>F90+J90</f>
        <v>41850.959999999999</v>
      </c>
      <c r="U90" s="586">
        <f>F90+J90+N90</f>
        <v>41850.959999999999</v>
      </c>
      <c r="V90" s="586">
        <f>F90+J90+N90+R90</f>
        <v>41850.959999999999</v>
      </c>
      <c r="W90" s="587">
        <v>242100</v>
      </c>
      <c r="Z90" s="369">
        <v>171195.31</v>
      </c>
    </row>
    <row r="91" spans="1:26" ht="31.5">
      <c r="A91" s="367">
        <v>91</v>
      </c>
      <c r="B91" s="627" t="s">
        <v>223</v>
      </c>
      <c r="C91" s="609"/>
      <c r="D91" s="572"/>
      <c r="E91" s="573">
        <f>40024.95+57627.29</f>
        <v>97652.239999999991</v>
      </c>
      <c r="F91" s="574">
        <f t="shared" si="22"/>
        <v>97652.239999999991</v>
      </c>
      <c r="G91" s="572"/>
      <c r="H91" s="572"/>
      <c r="I91" s="572"/>
      <c r="J91" s="574">
        <f t="shared" si="23"/>
        <v>0</v>
      </c>
      <c r="K91" s="576"/>
      <c r="L91" s="572"/>
      <c r="M91" s="572"/>
      <c r="N91" s="577">
        <f t="shared" si="24"/>
        <v>0</v>
      </c>
      <c r="O91" s="142"/>
      <c r="P91" s="142"/>
      <c r="Q91" s="142"/>
      <c r="R91" s="577">
        <f t="shared" si="25"/>
        <v>0</v>
      </c>
      <c r="S91" s="586">
        <f t="shared" si="36"/>
        <v>97652.239999999991</v>
      </c>
      <c r="T91" s="586">
        <f>F91+J91</f>
        <v>97652.239999999991</v>
      </c>
      <c r="U91" s="586">
        <f>F91+J91+N91</f>
        <v>97652.239999999991</v>
      </c>
      <c r="V91" s="586">
        <f>F91+J91+N91+R91</f>
        <v>97652.239999999991</v>
      </c>
      <c r="W91" s="587">
        <v>564900</v>
      </c>
      <c r="Z91" s="369">
        <v>399454.79000000004</v>
      </c>
    </row>
    <row r="92" spans="1:26" ht="31.5">
      <c r="A92" s="367">
        <v>92</v>
      </c>
      <c r="B92" s="627" t="s">
        <v>224</v>
      </c>
      <c r="C92" s="609"/>
      <c r="D92" s="572"/>
      <c r="E92" s="573">
        <f>114357.5+164649.4</f>
        <v>279006.90000000002</v>
      </c>
      <c r="F92" s="574">
        <f t="shared" si="22"/>
        <v>279006.90000000002</v>
      </c>
      <c r="G92" s="572"/>
      <c r="H92" s="572"/>
      <c r="I92" s="572"/>
      <c r="J92" s="574">
        <f t="shared" si="23"/>
        <v>0</v>
      </c>
      <c r="K92" s="576"/>
      <c r="L92" s="572"/>
      <c r="M92" s="572"/>
      <c r="N92" s="577">
        <f t="shared" si="24"/>
        <v>0</v>
      </c>
      <c r="O92" s="142"/>
      <c r="P92" s="142"/>
      <c r="Q92" s="142"/>
      <c r="R92" s="577">
        <f t="shared" si="25"/>
        <v>0</v>
      </c>
      <c r="S92" s="586">
        <f t="shared" si="36"/>
        <v>279006.90000000002</v>
      </c>
      <c r="T92" s="586">
        <f>F92+J92</f>
        <v>279006.90000000002</v>
      </c>
      <c r="U92" s="586">
        <f>F92+J92+N92</f>
        <v>279006.90000000002</v>
      </c>
      <c r="V92" s="586">
        <f>F92+J92+N92+R92</f>
        <v>279006.90000000002</v>
      </c>
      <c r="W92" s="587">
        <v>1614000</v>
      </c>
      <c r="Z92" s="369">
        <v>1325816</v>
      </c>
    </row>
    <row r="93" spans="1:26">
      <c r="A93" s="367">
        <v>93</v>
      </c>
      <c r="B93" s="623"/>
      <c r="C93" s="609"/>
      <c r="D93" s="572"/>
      <c r="E93" s="573"/>
      <c r="F93" s="574"/>
      <c r="G93" s="572"/>
      <c r="H93" s="572"/>
      <c r="I93" s="572"/>
      <c r="J93" s="574"/>
      <c r="K93" s="576"/>
      <c r="L93" s="572"/>
      <c r="M93" s="572"/>
      <c r="N93" s="577"/>
      <c r="O93" s="142"/>
      <c r="P93" s="142"/>
      <c r="Q93" s="142"/>
      <c r="R93" s="577"/>
      <c r="S93" s="586"/>
      <c r="T93" s="586"/>
      <c r="U93" s="586"/>
      <c r="V93" s="586"/>
      <c r="W93" s="587"/>
      <c r="Z93" s="369"/>
    </row>
    <row r="94" spans="1:26">
      <c r="A94" s="367">
        <v>94</v>
      </c>
      <c r="B94" s="620" t="s">
        <v>100</v>
      </c>
      <c r="C94" s="629">
        <f>SUM(C95:C96)</f>
        <v>300000</v>
      </c>
      <c r="D94" s="629">
        <f t="shared" ref="D94:R94" si="41">SUM(D95:D96)</f>
        <v>100000</v>
      </c>
      <c r="E94" s="649">
        <f t="shared" si="41"/>
        <v>0</v>
      </c>
      <c r="F94" s="629">
        <f>SUM(F95:F97)</f>
        <v>0</v>
      </c>
      <c r="G94" s="629">
        <f t="shared" si="41"/>
        <v>0</v>
      </c>
      <c r="H94" s="629">
        <f t="shared" si="41"/>
        <v>0</v>
      </c>
      <c r="I94" s="629">
        <f>SUM(I95:I96)</f>
        <v>0</v>
      </c>
      <c r="J94" s="629">
        <f t="shared" si="41"/>
        <v>0</v>
      </c>
      <c r="K94" s="577">
        <f t="shared" si="41"/>
        <v>0</v>
      </c>
      <c r="L94" s="629">
        <f t="shared" si="41"/>
        <v>0</v>
      </c>
      <c r="M94" s="629">
        <f t="shared" si="41"/>
        <v>0</v>
      </c>
      <c r="N94" s="577">
        <f t="shared" si="41"/>
        <v>0</v>
      </c>
      <c r="O94" s="577">
        <f t="shared" si="41"/>
        <v>0</v>
      </c>
      <c r="P94" s="577">
        <f t="shared" si="41"/>
        <v>0</v>
      </c>
      <c r="Q94" s="577">
        <f t="shared" si="41"/>
        <v>0</v>
      </c>
      <c r="R94" s="577">
        <f t="shared" si="41"/>
        <v>0</v>
      </c>
      <c r="S94" s="586">
        <f>F94</f>
        <v>0</v>
      </c>
      <c r="T94" s="586">
        <f>F94+J94</f>
        <v>0</v>
      </c>
      <c r="U94" s="586">
        <f>F94+J94+N94</f>
        <v>0</v>
      </c>
      <c r="V94" s="586">
        <f>F94+J94+N94+R94</f>
        <v>0</v>
      </c>
      <c r="W94" s="592">
        <f>SUM(W95:W97)</f>
        <v>480000</v>
      </c>
      <c r="Z94" s="369">
        <v>0</v>
      </c>
    </row>
    <row r="95" spans="1:26">
      <c r="A95" s="367">
        <v>95</v>
      </c>
      <c r="B95" s="623" t="s">
        <v>153</v>
      </c>
      <c r="C95" s="609"/>
      <c r="D95" s="572"/>
      <c r="E95" s="573"/>
      <c r="F95" s="574">
        <f>SUM(C95:E95)</f>
        <v>0</v>
      </c>
      <c r="G95" s="572"/>
      <c r="H95" s="572"/>
      <c r="I95" s="572"/>
      <c r="J95" s="574">
        <v>0</v>
      </c>
      <c r="K95" s="576"/>
      <c r="L95" s="572"/>
      <c r="M95" s="572"/>
      <c r="N95" s="577">
        <f>SUM(K95:M95)</f>
        <v>0</v>
      </c>
      <c r="O95" s="142"/>
      <c r="P95" s="142"/>
      <c r="Q95" s="142"/>
      <c r="R95" s="577">
        <f>SUM(O95:Q95)</f>
        <v>0</v>
      </c>
      <c r="S95" s="586">
        <f>F95</f>
        <v>0</v>
      </c>
      <c r="T95" s="586">
        <f>F95+J95</f>
        <v>0</v>
      </c>
      <c r="U95" s="586">
        <f>F95+J95+N95</f>
        <v>0</v>
      </c>
      <c r="V95" s="586">
        <f>F95+J95+N95+R95</f>
        <v>0</v>
      </c>
      <c r="W95" s="587"/>
      <c r="Z95" s="369">
        <v>0</v>
      </c>
    </row>
    <row r="96" spans="1:26">
      <c r="A96" s="367">
        <v>96</v>
      </c>
      <c r="B96" s="623" t="s">
        <v>98</v>
      </c>
      <c r="C96" s="609">
        <v>300000</v>
      </c>
      <c r="D96" s="572">
        <f>100000</f>
        <v>100000</v>
      </c>
      <c r="E96" s="573">
        <v>0</v>
      </c>
      <c r="F96" s="574">
        <f>SUM(C96:E96)-300000-100000</f>
        <v>0</v>
      </c>
      <c r="G96" s="572"/>
      <c r="H96" s="572"/>
      <c r="I96" s="572"/>
      <c r="J96" s="574">
        <f>SUM(G96:I96)</f>
        <v>0</v>
      </c>
      <c r="K96" s="576"/>
      <c r="L96" s="572"/>
      <c r="M96" s="572"/>
      <c r="N96" s="577">
        <f>SUM(K96:M96)</f>
        <v>0</v>
      </c>
      <c r="O96" s="142"/>
      <c r="P96" s="142"/>
      <c r="Q96" s="142"/>
      <c r="R96" s="577">
        <f>SUM(O96:Q96)</f>
        <v>0</v>
      </c>
      <c r="S96" s="586">
        <f>F96</f>
        <v>0</v>
      </c>
      <c r="T96" s="586">
        <f>F96+J96</f>
        <v>0</v>
      </c>
      <c r="U96" s="586">
        <f>F96+J96+N96</f>
        <v>0</v>
      </c>
      <c r="V96" s="586">
        <f>F96+J96+N96+R96</f>
        <v>0</v>
      </c>
      <c r="W96" s="587">
        <v>0</v>
      </c>
      <c r="Z96" s="369">
        <v>0</v>
      </c>
    </row>
    <row r="97" spans="1:26">
      <c r="A97" s="367">
        <v>97</v>
      </c>
      <c r="B97" s="623" t="s">
        <v>215</v>
      </c>
      <c r="C97" s="609"/>
      <c r="D97" s="572"/>
      <c r="E97" s="573"/>
      <c r="F97" s="574">
        <f>SUM(C97:E97)</f>
        <v>0</v>
      </c>
      <c r="G97" s="572"/>
      <c r="H97" s="572"/>
      <c r="I97" s="572"/>
      <c r="J97" s="574">
        <f>SUM(G97:I97)</f>
        <v>0</v>
      </c>
      <c r="K97" s="576"/>
      <c r="L97" s="572"/>
      <c r="M97" s="572"/>
      <c r="N97" s="577">
        <f>SUM(K97:M97)</f>
        <v>0</v>
      </c>
      <c r="O97" s="142"/>
      <c r="P97" s="142"/>
      <c r="Q97" s="142"/>
      <c r="R97" s="577">
        <f>SUM(O97:Q97)</f>
        <v>0</v>
      </c>
      <c r="S97" s="586">
        <f>F97</f>
        <v>0</v>
      </c>
      <c r="T97" s="586">
        <f>F97+J97</f>
        <v>0</v>
      </c>
      <c r="U97" s="586">
        <f>F97+J97+N97</f>
        <v>0</v>
      </c>
      <c r="V97" s="586">
        <f>F97+J97+N97+R97</f>
        <v>0</v>
      </c>
      <c r="W97" s="587">
        <v>480000</v>
      </c>
      <c r="Z97" s="369"/>
    </row>
    <row r="98" spans="1:26">
      <c r="A98" s="367">
        <v>98</v>
      </c>
      <c r="B98" s="620" t="s">
        <v>33</v>
      </c>
      <c r="C98" s="641">
        <f t="shared" ref="C98:V98" si="42">C27+C57+C62+C81+C89+C94</f>
        <v>1381121.37</v>
      </c>
      <c r="D98" s="641">
        <f t="shared" si="42"/>
        <v>1633527.83925</v>
      </c>
      <c r="E98" s="642">
        <f>E27+E57+E62+E81+E89+E94</f>
        <v>1834197.65</v>
      </c>
      <c r="F98" s="641">
        <f t="shared" si="42"/>
        <v>4448846.8592499997</v>
      </c>
      <c r="G98" s="641">
        <f t="shared" si="42"/>
        <v>0</v>
      </c>
      <c r="H98" s="641">
        <f t="shared" si="42"/>
        <v>0</v>
      </c>
      <c r="I98" s="641">
        <f t="shared" si="42"/>
        <v>0</v>
      </c>
      <c r="J98" s="641">
        <f t="shared" si="42"/>
        <v>0</v>
      </c>
      <c r="K98" s="648">
        <f t="shared" si="42"/>
        <v>0</v>
      </c>
      <c r="L98" s="641">
        <f t="shared" si="42"/>
        <v>0</v>
      </c>
      <c r="M98" s="641">
        <f t="shared" si="42"/>
        <v>0</v>
      </c>
      <c r="N98" s="648">
        <f t="shared" si="42"/>
        <v>0</v>
      </c>
      <c r="O98" s="648">
        <f t="shared" si="42"/>
        <v>0</v>
      </c>
      <c r="P98" s="648">
        <f t="shared" si="42"/>
        <v>0</v>
      </c>
      <c r="Q98" s="648">
        <f t="shared" si="42"/>
        <v>0</v>
      </c>
      <c r="R98" s="648">
        <f t="shared" si="42"/>
        <v>0</v>
      </c>
      <c r="S98" s="586">
        <f t="shared" si="42"/>
        <v>4448846.8592499997</v>
      </c>
      <c r="T98" s="586">
        <f t="shared" si="42"/>
        <v>4448846.8592499997</v>
      </c>
      <c r="U98" s="586">
        <f t="shared" si="42"/>
        <v>4448846.8592499997</v>
      </c>
      <c r="V98" s="586">
        <f t="shared" si="42"/>
        <v>4448846.8592499997</v>
      </c>
      <c r="W98" s="592">
        <f>W94+W89+W81+W62+W57+W27</f>
        <v>14034012.4</v>
      </c>
      <c r="Z98" s="369">
        <v>8507448.3599999994</v>
      </c>
    </row>
    <row r="99" spans="1:26" s="593" customFormat="1">
      <c r="A99" s="367">
        <v>99</v>
      </c>
      <c r="B99" s="620" t="s">
        <v>125</v>
      </c>
      <c r="C99" s="629">
        <f>SUM(C100:C107)</f>
        <v>1335839.1399999999</v>
      </c>
      <c r="D99" s="629">
        <f t="shared" ref="D99:R99" si="43">SUM(D100:D107)</f>
        <v>1152948.2799999998</v>
      </c>
      <c r="E99" s="649">
        <f>SUM(E100:E107)</f>
        <v>350723.75</v>
      </c>
      <c r="F99" s="629">
        <f>E99</f>
        <v>350723.75</v>
      </c>
      <c r="G99" s="629">
        <f t="shared" si="43"/>
        <v>0</v>
      </c>
      <c r="H99" s="629">
        <f>SUM(H100:H107)</f>
        <v>0</v>
      </c>
      <c r="I99" s="629">
        <f t="shared" si="43"/>
        <v>0</v>
      </c>
      <c r="J99" s="629">
        <f t="shared" si="43"/>
        <v>0</v>
      </c>
      <c r="K99" s="577">
        <f>SUM(K100:K107)</f>
        <v>0</v>
      </c>
      <c r="L99" s="629">
        <f t="shared" si="43"/>
        <v>0</v>
      </c>
      <c r="M99" s="629">
        <f>SUM(M100:M107)</f>
        <v>0</v>
      </c>
      <c r="N99" s="577">
        <f t="shared" si="43"/>
        <v>0</v>
      </c>
      <c r="O99" s="577">
        <f>SUM(O100:O107)</f>
        <v>0</v>
      </c>
      <c r="P99" s="577">
        <f t="shared" si="43"/>
        <v>0</v>
      </c>
      <c r="Q99" s="577">
        <f>SUM(Q100:Q107)</f>
        <v>0</v>
      </c>
      <c r="R99" s="577">
        <f t="shared" si="43"/>
        <v>0</v>
      </c>
      <c r="S99" s="586">
        <f t="shared" si="36"/>
        <v>350723.75</v>
      </c>
      <c r="T99" s="586">
        <f>J99</f>
        <v>0</v>
      </c>
      <c r="U99" s="586">
        <f>N99</f>
        <v>0</v>
      </c>
      <c r="V99" s="586">
        <f t="shared" ref="V99:V107" si="44">Q99</f>
        <v>0</v>
      </c>
      <c r="W99" s="592"/>
      <c r="Z99" s="567">
        <v>956723.78999999992</v>
      </c>
    </row>
    <row r="100" spans="1:26">
      <c r="A100" s="367">
        <v>100</v>
      </c>
      <c r="B100" s="623" t="s">
        <v>74</v>
      </c>
      <c r="C100" s="609">
        <v>413591.91</v>
      </c>
      <c r="D100" s="572">
        <v>403815.45</v>
      </c>
      <c r="E100" s="650">
        <v>172876.9</v>
      </c>
      <c r="F100" s="629">
        <f t="shared" ref="F100:F107" si="45">E100</f>
        <v>172876.9</v>
      </c>
      <c r="G100" s="572"/>
      <c r="H100" s="572"/>
      <c r="I100" s="572"/>
      <c r="J100" s="574">
        <f t="shared" ref="J100:J107" si="46">I100</f>
        <v>0</v>
      </c>
      <c r="K100" s="576"/>
      <c r="L100" s="572"/>
      <c r="M100" s="572"/>
      <c r="N100" s="577">
        <f t="shared" ref="N100:N106" si="47">M100</f>
        <v>0</v>
      </c>
      <c r="O100" s="576"/>
      <c r="P100" s="576"/>
      <c r="Q100" s="576"/>
      <c r="R100" s="577">
        <f t="shared" ref="R100:R107" si="48">Q100</f>
        <v>0</v>
      </c>
      <c r="S100" s="586">
        <f t="shared" si="36"/>
        <v>172876.9</v>
      </c>
      <c r="T100" s="586">
        <f>J100</f>
        <v>0</v>
      </c>
      <c r="U100" s="586">
        <f t="shared" ref="U100:U107" si="49">N100</f>
        <v>0</v>
      </c>
      <c r="V100" s="586">
        <f t="shared" si="44"/>
        <v>0</v>
      </c>
      <c r="W100" s="587"/>
      <c r="Z100" s="369">
        <v>233476.82</v>
      </c>
    </row>
    <row r="101" spans="1:26">
      <c r="A101" s="367">
        <v>101</v>
      </c>
      <c r="B101" s="623" t="s">
        <v>141</v>
      </c>
      <c r="C101" s="609">
        <v>131420</v>
      </c>
      <c r="D101" s="624">
        <f>69900+23355+4460+5075+500+100000</f>
        <v>203290</v>
      </c>
      <c r="E101" s="650">
        <v>0</v>
      </c>
      <c r="F101" s="629">
        <f t="shared" si="45"/>
        <v>0</v>
      </c>
      <c r="G101" s="572"/>
      <c r="H101" s="572"/>
      <c r="I101" s="572"/>
      <c r="J101" s="574">
        <f t="shared" si="46"/>
        <v>0</v>
      </c>
      <c r="K101" s="576"/>
      <c r="L101" s="572"/>
      <c r="M101" s="572"/>
      <c r="N101" s="577">
        <f t="shared" si="47"/>
        <v>0</v>
      </c>
      <c r="O101" s="576"/>
      <c r="P101" s="576"/>
      <c r="Q101" s="576"/>
      <c r="R101" s="577">
        <f t="shared" si="48"/>
        <v>0</v>
      </c>
      <c r="S101" s="586">
        <f>F101</f>
        <v>0</v>
      </c>
      <c r="T101" s="586">
        <f>G101</f>
        <v>0</v>
      </c>
      <c r="U101" s="586">
        <f t="shared" si="49"/>
        <v>0</v>
      </c>
      <c r="V101" s="586">
        <f t="shared" si="44"/>
        <v>0</v>
      </c>
      <c r="W101" s="587"/>
      <c r="Z101" s="369">
        <v>6500</v>
      </c>
    </row>
    <row r="102" spans="1:26">
      <c r="A102" s="367">
        <v>102</v>
      </c>
      <c r="B102" s="623" t="s">
        <v>140</v>
      </c>
      <c r="C102" s="581">
        <f>-300000-31800-1000</f>
        <v>-332800</v>
      </c>
      <c r="D102" s="624">
        <f>-100000</f>
        <v>-100000</v>
      </c>
      <c r="E102" s="692">
        <f>-57627.29-10000</f>
        <v>-67627.290000000008</v>
      </c>
      <c r="F102" s="596">
        <f t="shared" si="45"/>
        <v>-67627.290000000008</v>
      </c>
      <c r="G102" s="572"/>
      <c r="H102" s="572"/>
      <c r="I102" s="572"/>
      <c r="J102" s="574">
        <f t="shared" si="46"/>
        <v>0</v>
      </c>
      <c r="K102" s="576"/>
      <c r="L102" s="624"/>
      <c r="M102" s="572"/>
      <c r="N102" s="577">
        <f t="shared" si="47"/>
        <v>0</v>
      </c>
      <c r="O102" s="576"/>
      <c r="P102" s="576"/>
      <c r="Q102" s="576"/>
      <c r="R102" s="577">
        <f t="shared" si="48"/>
        <v>0</v>
      </c>
      <c r="S102" s="586">
        <f>F102</f>
        <v>-67627.290000000008</v>
      </c>
      <c r="T102" s="586">
        <f>G102</f>
        <v>0</v>
      </c>
      <c r="U102" s="586">
        <f t="shared" si="49"/>
        <v>0</v>
      </c>
      <c r="V102" s="586">
        <f t="shared" si="44"/>
        <v>0</v>
      </c>
      <c r="W102" s="587"/>
      <c r="Z102" s="369">
        <v>0</v>
      </c>
    </row>
    <row r="103" spans="1:26">
      <c r="A103" s="367">
        <v>103</v>
      </c>
      <c r="B103" s="623" t="s">
        <v>6</v>
      </c>
      <c r="C103" s="609">
        <v>33911.160000000003</v>
      </c>
      <c r="D103" s="572">
        <f>48413.14+8050</f>
        <v>56463.14</v>
      </c>
      <c r="E103" s="650">
        <f>54060.95+4845</f>
        <v>58905.95</v>
      </c>
      <c r="F103" s="629">
        <f t="shared" si="45"/>
        <v>58905.95</v>
      </c>
      <c r="G103" s="572"/>
      <c r="H103" s="572"/>
      <c r="I103" s="572"/>
      <c r="J103" s="574">
        <f t="shared" si="46"/>
        <v>0</v>
      </c>
      <c r="K103" s="576"/>
      <c r="L103" s="572"/>
      <c r="M103" s="572"/>
      <c r="N103" s="577">
        <f t="shared" si="47"/>
        <v>0</v>
      </c>
      <c r="O103" s="576"/>
      <c r="P103" s="576"/>
      <c r="Q103" s="576"/>
      <c r="R103" s="577">
        <f t="shared" si="48"/>
        <v>0</v>
      </c>
      <c r="S103" s="586">
        <f t="shared" si="36"/>
        <v>58905.95</v>
      </c>
      <c r="T103" s="586">
        <f>J103</f>
        <v>0</v>
      </c>
      <c r="U103" s="586">
        <f t="shared" si="49"/>
        <v>0</v>
      </c>
      <c r="V103" s="586">
        <f t="shared" si="44"/>
        <v>0</v>
      </c>
      <c r="W103" s="587"/>
      <c r="Z103" s="369">
        <v>19152.900000000001</v>
      </c>
    </row>
    <row r="104" spans="1:26">
      <c r="A104" s="367">
        <v>104</v>
      </c>
      <c r="B104" s="623" t="s">
        <v>32</v>
      </c>
      <c r="C104" s="609">
        <v>1521416.07</v>
      </c>
      <c r="D104" s="572">
        <v>578879.68999999994</v>
      </c>
      <c r="E104" s="650">
        <v>175568.19</v>
      </c>
      <c r="F104" s="629">
        <f t="shared" si="45"/>
        <v>175568.19</v>
      </c>
      <c r="G104" s="572"/>
      <c r="H104" s="572"/>
      <c r="I104" s="572"/>
      <c r="J104" s="574">
        <f t="shared" si="46"/>
        <v>0</v>
      </c>
      <c r="K104" s="576"/>
      <c r="L104" s="572"/>
      <c r="M104" s="572"/>
      <c r="N104" s="577">
        <f t="shared" si="47"/>
        <v>0</v>
      </c>
      <c r="O104" s="576"/>
      <c r="P104" s="576"/>
      <c r="Q104" s="576"/>
      <c r="R104" s="577">
        <f t="shared" si="48"/>
        <v>0</v>
      </c>
      <c r="S104" s="586">
        <f t="shared" si="36"/>
        <v>175568.19</v>
      </c>
      <c r="T104" s="586">
        <f>J104</f>
        <v>0</v>
      </c>
      <c r="U104" s="586">
        <f t="shared" si="49"/>
        <v>0</v>
      </c>
      <c r="V104" s="586">
        <f t="shared" si="44"/>
        <v>0</v>
      </c>
      <c r="W104" s="587"/>
      <c r="Z104" s="369">
        <v>694094.07</v>
      </c>
    </row>
    <row r="105" spans="1:26">
      <c r="A105" s="367">
        <v>105</v>
      </c>
      <c r="B105" s="623" t="s">
        <v>142</v>
      </c>
      <c r="C105" s="609">
        <v>300000</v>
      </c>
      <c r="D105" s="572">
        <f>100000+10000</f>
        <v>110000</v>
      </c>
      <c r="E105" s="650">
        <v>10000</v>
      </c>
      <c r="F105" s="629">
        <f t="shared" si="45"/>
        <v>10000</v>
      </c>
      <c r="G105" s="572"/>
      <c r="H105" s="572"/>
      <c r="I105" s="572"/>
      <c r="J105" s="574">
        <f t="shared" si="46"/>
        <v>0</v>
      </c>
      <c r="K105" s="576"/>
      <c r="L105" s="572"/>
      <c r="M105" s="572"/>
      <c r="N105" s="577">
        <f t="shared" si="47"/>
        <v>0</v>
      </c>
      <c r="O105" s="576">
        <v>0</v>
      </c>
      <c r="P105" s="576"/>
      <c r="Q105" s="576">
        <v>0</v>
      </c>
      <c r="R105" s="577">
        <f t="shared" si="48"/>
        <v>0</v>
      </c>
      <c r="S105" s="586">
        <f>F105</f>
        <v>10000</v>
      </c>
      <c r="T105" s="586">
        <f>G105</f>
        <v>0</v>
      </c>
      <c r="U105" s="586">
        <f t="shared" si="49"/>
        <v>0</v>
      </c>
      <c r="V105" s="586">
        <f t="shared" si="44"/>
        <v>0</v>
      </c>
      <c r="W105" s="587"/>
      <c r="Z105" s="369">
        <v>0</v>
      </c>
    </row>
    <row r="106" spans="1:26">
      <c r="A106" s="367">
        <v>106</v>
      </c>
      <c r="B106" s="623" t="s">
        <v>143</v>
      </c>
      <c r="C106" s="581">
        <f>-135200-192500-150000-259500</f>
        <v>-737200</v>
      </c>
      <c r="D106" s="624">
        <f>-500-100000</f>
        <v>-100500</v>
      </c>
      <c r="E106" s="650">
        <v>0</v>
      </c>
      <c r="F106" s="629">
        <f t="shared" si="45"/>
        <v>0</v>
      </c>
      <c r="G106" s="572"/>
      <c r="H106" s="572"/>
      <c r="I106" s="572"/>
      <c r="J106" s="574">
        <f t="shared" si="46"/>
        <v>0</v>
      </c>
      <c r="K106" s="576"/>
      <c r="L106" s="572"/>
      <c r="M106" s="572"/>
      <c r="N106" s="577">
        <f t="shared" si="47"/>
        <v>0</v>
      </c>
      <c r="O106" s="576">
        <v>0</v>
      </c>
      <c r="P106" s="576"/>
      <c r="Q106" s="576">
        <v>0</v>
      </c>
      <c r="R106" s="577">
        <f t="shared" si="48"/>
        <v>0</v>
      </c>
      <c r="S106" s="586">
        <f>F106</f>
        <v>0</v>
      </c>
      <c r="T106" s="586">
        <f>G106</f>
        <v>0</v>
      </c>
      <c r="U106" s="586">
        <f t="shared" si="49"/>
        <v>0</v>
      </c>
      <c r="V106" s="586">
        <f t="shared" si="44"/>
        <v>0</v>
      </c>
      <c r="W106" s="587"/>
      <c r="Z106" s="369">
        <v>0</v>
      </c>
    </row>
    <row r="107" spans="1:26">
      <c r="A107" s="367">
        <v>107</v>
      </c>
      <c r="B107" s="623" t="s">
        <v>123</v>
      </c>
      <c r="C107" s="609">
        <v>5500</v>
      </c>
      <c r="D107" s="572">
        <v>1000</v>
      </c>
      <c r="E107" s="650">
        <v>1000</v>
      </c>
      <c r="F107" s="629">
        <f t="shared" si="45"/>
        <v>1000</v>
      </c>
      <c r="G107" s="572"/>
      <c r="H107" s="572"/>
      <c r="I107" s="572"/>
      <c r="J107" s="574">
        <f t="shared" si="46"/>
        <v>0</v>
      </c>
      <c r="K107" s="576"/>
      <c r="L107" s="572"/>
      <c r="M107" s="572"/>
      <c r="N107" s="577">
        <f>M107</f>
        <v>0</v>
      </c>
      <c r="O107" s="576"/>
      <c r="P107" s="576"/>
      <c r="Q107" s="576"/>
      <c r="R107" s="577">
        <f t="shared" si="48"/>
        <v>0</v>
      </c>
      <c r="S107" s="586">
        <f t="shared" si="36"/>
        <v>1000</v>
      </c>
      <c r="T107" s="586">
        <f>J107</f>
        <v>0</v>
      </c>
      <c r="U107" s="586">
        <f t="shared" si="49"/>
        <v>0</v>
      </c>
      <c r="V107" s="586">
        <f t="shared" si="44"/>
        <v>0</v>
      </c>
      <c r="W107" s="587"/>
      <c r="Z107" s="369">
        <v>3500</v>
      </c>
    </row>
    <row r="108" spans="1:26">
      <c r="A108" s="367">
        <v>108</v>
      </c>
      <c r="B108" s="651" t="s">
        <v>34</v>
      </c>
      <c r="C108" s="652"/>
      <c r="D108" s="652"/>
      <c r="E108" s="653"/>
      <c r="F108" s="652"/>
      <c r="G108" s="652"/>
      <c r="H108" s="652"/>
      <c r="I108" s="652"/>
      <c r="J108" s="652"/>
      <c r="K108" s="142"/>
      <c r="L108" s="652"/>
      <c r="M108" s="652"/>
      <c r="N108" s="142"/>
      <c r="O108" s="576"/>
      <c r="P108" s="142"/>
      <c r="Q108" s="142"/>
      <c r="R108" s="142"/>
      <c r="S108" s="586"/>
      <c r="T108" s="586"/>
      <c r="U108" s="586"/>
      <c r="V108" s="586"/>
      <c r="W108" s="587"/>
      <c r="Y108" s="369"/>
      <c r="Z108" s="369"/>
    </row>
    <row r="109" spans="1:26" ht="31.5">
      <c r="A109" s="367">
        <v>109</v>
      </c>
      <c r="B109" s="654" t="s">
        <v>218</v>
      </c>
      <c r="C109" s="655">
        <f t="shared" ref="C109:V109" si="50">C25</f>
        <v>2416960.5100000002</v>
      </c>
      <c r="D109" s="655">
        <f t="shared" si="50"/>
        <v>2686476.12</v>
      </c>
      <c r="E109" s="656">
        <f t="shared" si="50"/>
        <v>2184921.3999999994</v>
      </c>
      <c r="F109" s="636">
        <f t="shared" si="50"/>
        <v>4799570.6100000003</v>
      </c>
      <c r="G109" s="655">
        <f t="shared" si="50"/>
        <v>923445.75</v>
      </c>
      <c r="H109" s="655">
        <f t="shared" si="50"/>
        <v>0</v>
      </c>
      <c r="I109" s="655">
        <f t="shared" si="50"/>
        <v>0</v>
      </c>
      <c r="J109" s="657">
        <f t="shared" si="50"/>
        <v>923445.75</v>
      </c>
      <c r="K109" s="149">
        <f t="shared" si="50"/>
        <v>0</v>
      </c>
      <c r="L109" s="657">
        <f t="shared" si="50"/>
        <v>0</v>
      </c>
      <c r="M109" s="657">
        <f t="shared" si="50"/>
        <v>0</v>
      </c>
      <c r="N109" s="149">
        <f t="shared" si="50"/>
        <v>0</v>
      </c>
      <c r="O109" s="657">
        <f t="shared" si="50"/>
        <v>0</v>
      </c>
      <c r="P109" s="657">
        <f t="shared" si="50"/>
        <v>0</v>
      </c>
      <c r="Q109" s="657">
        <f t="shared" si="50"/>
        <v>0</v>
      </c>
      <c r="R109" s="149">
        <f t="shared" si="50"/>
        <v>0</v>
      </c>
      <c r="S109" s="608">
        <f t="shared" si="50"/>
        <v>4799570.6100000003</v>
      </c>
      <c r="T109" s="608">
        <f t="shared" si="50"/>
        <v>5372292.6100000003</v>
      </c>
      <c r="U109" s="608">
        <f t="shared" si="50"/>
        <v>5372292.6100000003</v>
      </c>
      <c r="V109" s="608">
        <f t="shared" si="50"/>
        <v>5372292.6100000003</v>
      </c>
      <c r="W109" s="587">
        <f>W25</f>
        <v>12490573.450000001</v>
      </c>
      <c r="Z109" s="369">
        <v>9570973.5199999996</v>
      </c>
    </row>
    <row r="110" spans="1:26">
      <c r="A110" s="367">
        <v>110</v>
      </c>
      <c r="B110" s="627" t="s">
        <v>35</v>
      </c>
      <c r="C110" s="142">
        <f>C82+C85+C86</f>
        <v>737208</v>
      </c>
      <c r="D110" s="142">
        <f>D82+D85+D86</f>
        <v>780636.38</v>
      </c>
      <c r="E110" s="632">
        <f>E82+E85+E86</f>
        <v>530081.5</v>
      </c>
      <c r="F110" s="574">
        <f>SUM(C110:E110)</f>
        <v>2047925.88</v>
      </c>
      <c r="G110" s="142">
        <f>G82+G85+G86</f>
        <v>0</v>
      </c>
      <c r="H110" s="142">
        <f>H82+H85+H86</f>
        <v>0</v>
      </c>
      <c r="I110" s="142">
        <f>I82+I85+I86</f>
        <v>0</v>
      </c>
      <c r="J110" s="146">
        <f>SUM(G110:I110)</f>
        <v>0</v>
      </c>
      <c r="K110" s="142">
        <f>K82+K85+K86</f>
        <v>0</v>
      </c>
      <c r="L110" s="142">
        <f>L82+L85+L86</f>
        <v>0</v>
      </c>
      <c r="M110" s="142">
        <f>M82+M85+M86</f>
        <v>0</v>
      </c>
      <c r="N110" s="146">
        <f>SUM(K110:M110)</f>
        <v>0</v>
      </c>
      <c r="O110" s="142">
        <f>O82+O85+O86</f>
        <v>0</v>
      </c>
      <c r="P110" s="142">
        <f>P82+P86</f>
        <v>0</v>
      </c>
      <c r="Q110" s="142">
        <f>Q82+Q86</f>
        <v>0</v>
      </c>
      <c r="R110" s="141">
        <f>R82+R85+R86</f>
        <v>0</v>
      </c>
      <c r="S110" s="586">
        <f t="shared" si="36"/>
        <v>2047925.88</v>
      </c>
      <c r="T110" s="586">
        <f>F110+J110</f>
        <v>2047925.88</v>
      </c>
      <c r="U110" s="586">
        <f>F110+J110+N110</f>
        <v>2047925.88</v>
      </c>
      <c r="V110" s="586">
        <f>F110+J110+N110+R110</f>
        <v>2047925.88</v>
      </c>
      <c r="W110" s="587">
        <f>W82+W85+W86</f>
        <v>3502000</v>
      </c>
      <c r="Z110" s="369">
        <v>1841010</v>
      </c>
    </row>
    <row r="111" spans="1:26" ht="31.5">
      <c r="A111" s="367">
        <v>111</v>
      </c>
      <c r="B111" s="627" t="s">
        <v>36</v>
      </c>
      <c r="C111" s="658">
        <f>C98-C82-C85-C86</f>
        <v>643913.37000000011</v>
      </c>
      <c r="D111" s="658">
        <f>D98-D82-D85-D86</f>
        <v>852891.45925000007</v>
      </c>
      <c r="E111" s="659">
        <f>E98-E82-E85-E86</f>
        <v>1304116.1499999999</v>
      </c>
      <c r="F111" s="636">
        <f>SUM(C111:E111)</f>
        <v>2800920.9792499999</v>
      </c>
      <c r="G111" s="658">
        <f>G98-G82-G83-G84-G86</f>
        <v>0</v>
      </c>
      <c r="H111" s="658">
        <f>H98-H82-H83-H84-H85-H86</f>
        <v>0</v>
      </c>
      <c r="I111" s="658">
        <f>I98-I82-I83--I84-I85</f>
        <v>0</v>
      </c>
      <c r="J111" s="660">
        <f>SUM(G111:I111)</f>
        <v>0</v>
      </c>
      <c r="K111" s="658">
        <f>K98-K82-K86</f>
        <v>0</v>
      </c>
      <c r="L111" s="658">
        <f>L98-L82-L86</f>
        <v>0</v>
      </c>
      <c r="M111" s="658">
        <f>M98-M82-M86</f>
        <v>0</v>
      </c>
      <c r="N111" s="660">
        <f>SUM(K111:M111)</f>
        <v>0</v>
      </c>
      <c r="O111" s="658">
        <f>O98-O82-O86</f>
        <v>0</v>
      </c>
      <c r="P111" s="658">
        <f>P98-P82-P86</f>
        <v>0</v>
      </c>
      <c r="Q111" s="658">
        <f>Q98-Q82-Q86</f>
        <v>0</v>
      </c>
      <c r="R111" s="149">
        <f>R98-R110</f>
        <v>0</v>
      </c>
      <c r="S111" s="608">
        <f t="shared" si="36"/>
        <v>2800920.9792499999</v>
      </c>
      <c r="T111" s="608">
        <f>F111+J111</f>
        <v>2800920.9792499999</v>
      </c>
      <c r="U111" s="608">
        <f>F111+J111+N111</f>
        <v>2800920.9792499999</v>
      </c>
      <c r="V111" s="608">
        <f>F111+J111+N111+R111</f>
        <v>2800920.9792499999</v>
      </c>
      <c r="W111" s="587">
        <f>W98</f>
        <v>14034012.4</v>
      </c>
      <c r="Z111" s="369">
        <v>6210438.3600000003</v>
      </c>
    </row>
    <row r="112" spans="1:26" ht="31.5">
      <c r="A112" s="367">
        <v>112</v>
      </c>
      <c r="B112" s="654" t="s">
        <v>71</v>
      </c>
      <c r="C112" s="661">
        <f>C110+C111</f>
        <v>1381121.37</v>
      </c>
      <c r="D112" s="661">
        <f>D110+D111</f>
        <v>1633527.8392500002</v>
      </c>
      <c r="E112" s="662">
        <f>E110+E111</f>
        <v>1834197.65</v>
      </c>
      <c r="F112" s="574">
        <f>F110+F111-400000</f>
        <v>4448846.8592499997</v>
      </c>
      <c r="G112" s="661">
        <f t="shared" ref="G112:N112" si="51">G110+G111</f>
        <v>0</v>
      </c>
      <c r="H112" s="661">
        <f t="shared" si="51"/>
        <v>0</v>
      </c>
      <c r="I112" s="661">
        <f t="shared" si="51"/>
        <v>0</v>
      </c>
      <c r="J112" s="663">
        <f t="shared" si="51"/>
        <v>0</v>
      </c>
      <c r="K112" s="663">
        <f t="shared" si="51"/>
        <v>0</v>
      </c>
      <c r="L112" s="661">
        <f t="shared" si="51"/>
        <v>0</v>
      </c>
      <c r="M112" s="661">
        <f t="shared" si="51"/>
        <v>0</v>
      </c>
      <c r="N112" s="663">
        <f t="shared" si="51"/>
        <v>0</v>
      </c>
      <c r="O112" s="661">
        <f>O110+O111</f>
        <v>0</v>
      </c>
      <c r="P112" s="661">
        <f>P110+P111</f>
        <v>0</v>
      </c>
      <c r="Q112" s="142">
        <f>Q110+Q111</f>
        <v>0</v>
      </c>
      <c r="R112" s="141">
        <f>R110+R111</f>
        <v>0</v>
      </c>
      <c r="S112" s="586">
        <f t="shared" si="36"/>
        <v>4448846.8592499997</v>
      </c>
      <c r="T112" s="586">
        <f>F112+J112</f>
        <v>4448846.8592499997</v>
      </c>
      <c r="U112" s="586">
        <f>F112+J112+N112</f>
        <v>4448846.8592499997</v>
      </c>
      <c r="V112" s="586">
        <f>F112+J112+N112+R112</f>
        <v>4448846.8592499997</v>
      </c>
      <c r="W112" s="592">
        <f>W27+W57+W62+W81+W89+W94</f>
        <v>14034012.4</v>
      </c>
      <c r="Z112" s="369">
        <v>8051448.3599999994</v>
      </c>
    </row>
    <row r="113" spans="2:26">
      <c r="B113" s="664" t="s">
        <v>29</v>
      </c>
      <c r="C113" s="665">
        <f t="shared" ref="C113:V113" si="52">C109-C99-C112</f>
        <v>-299999.99999999977</v>
      </c>
      <c r="D113" s="665">
        <f t="shared" si="52"/>
        <v>-99999.999249999877</v>
      </c>
      <c r="E113" s="666">
        <f>E109-E99-E112</f>
        <v>0</v>
      </c>
      <c r="F113" s="667">
        <f>F109-F99-F112</f>
        <v>7.5000058859586716E-4</v>
      </c>
      <c r="G113" s="665">
        <f t="shared" si="52"/>
        <v>923445.75</v>
      </c>
      <c r="H113" s="665">
        <f t="shared" si="52"/>
        <v>0</v>
      </c>
      <c r="I113" s="665">
        <f t="shared" si="52"/>
        <v>0</v>
      </c>
      <c r="J113" s="668">
        <f t="shared" si="52"/>
        <v>923445.75</v>
      </c>
      <c r="K113" s="665">
        <f t="shared" si="52"/>
        <v>0</v>
      </c>
      <c r="L113" s="665">
        <f t="shared" si="52"/>
        <v>0</v>
      </c>
      <c r="M113" s="665">
        <f t="shared" si="52"/>
        <v>0</v>
      </c>
      <c r="N113" s="669">
        <f t="shared" si="52"/>
        <v>0</v>
      </c>
      <c r="O113" s="665">
        <f t="shared" si="52"/>
        <v>0</v>
      </c>
      <c r="P113" s="665">
        <f t="shared" si="52"/>
        <v>0</v>
      </c>
      <c r="Q113" s="665">
        <f t="shared" si="52"/>
        <v>0</v>
      </c>
      <c r="R113" s="669">
        <f t="shared" si="52"/>
        <v>0</v>
      </c>
      <c r="S113" s="669">
        <f>S109-S99-S112</f>
        <v>7.5000058859586716E-4</v>
      </c>
      <c r="T113" s="669">
        <f t="shared" si="52"/>
        <v>923445.75075000059</v>
      </c>
      <c r="U113" s="669">
        <f t="shared" si="52"/>
        <v>923445.75075000059</v>
      </c>
      <c r="V113" s="669">
        <f t="shared" si="52"/>
        <v>923445.75075000059</v>
      </c>
      <c r="W113" s="587"/>
      <c r="Z113" s="369">
        <v>562801.37000000023</v>
      </c>
    </row>
    <row r="114" spans="2:26">
      <c r="B114" s="623"/>
      <c r="C114" s="143">
        <v>300000</v>
      </c>
      <c r="D114" s="143"/>
      <c r="E114" s="693">
        <v>300000</v>
      </c>
      <c r="F114" s="694">
        <f>SUM(C113:E113)</f>
        <v>-399999.99924999964</v>
      </c>
      <c r="G114" s="142"/>
      <c r="H114" s="652"/>
      <c r="I114" s="652"/>
      <c r="J114" s="142"/>
      <c r="K114" s="142"/>
      <c r="L114" s="652"/>
      <c r="M114" s="652"/>
      <c r="N114" s="142"/>
      <c r="O114" s="142"/>
      <c r="P114" s="142"/>
      <c r="Q114" s="142"/>
      <c r="R114" s="141"/>
      <c r="S114" s="142"/>
      <c r="T114" s="142"/>
      <c r="U114" s="142"/>
      <c r="V114" s="142"/>
      <c r="W114" s="587"/>
    </row>
    <row r="115" spans="2:26">
      <c r="B115" s="670"/>
      <c r="C115" s="671">
        <f>SUM(C113:C114)</f>
        <v>0</v>
      </c>
      <c r="D115" s="671"/>
      <c r="E115" s="672">
        <f>SUM(E113:E114)</f>
        <v>300000</v>
      </c>
      <c r="G115" s="562"/>
      <c r="J115" s="440"/>
      <c r="L115" s="562"/>
      <c r="O115" s="369"/>
      <c r="P115" s="369"/>
      <c r="R115" s="440"/>
      <c r="T115" s="565"/>
    </row>
    <row r="116" spans="2:26">
      <c r="B116" s="580"/>
      <c r="C116" s="673"/>
      <c r="D116" s="674"/>
      <c r="E116" s="672"/>
      <c r="F116" s="562"/>
      <c r="G116" s="562"/>
      <c r="I116" s="562"/>
      <c r="J116" s="562"/>
      <c r="L116" s="562"/>
      <c r="M116" s="562"/>
      <c r="O116" s="369"/>
      <c r="P116" s="369"/>
      <c r="Q116" s="440"/>
      <c r="V116" s="369"/>
    </row>
    <row r="117" spans="2:26">
      <c r="B117" s="580"/>
      <c r="C117" s="674"/>
      <c r="D117" s="675"/>
      <c r="E117" s="676">
        <f>E103-8060.66</f>
        <v>50845.289999999994</v>
      </c>
      <c r="I117" s="367">
        <v>400000</v>
      </c>
      <c r="O117" s="369"/>
      <c r="P117" s="369"/>
      <c r="Q117" s="440"/>
      <c r="R117" s="440"/>
      <c r="V117" s="369"/>
    </row>
    <row r="118" spans="2:26">
      <c r="E118" s="678"/>
      <c r="O118" s="369"/>
      <c r="P118" s="369"/>
    </row>
    <row r="119" spans="2:26">
      <c r="I119" s="367">
        <f>35670-2350-33620</f>
        <v>-300</v>
      </c>
      <c r="O119" s="369"/>
      <c r="P119" s="369"/>
      <c r="V119" s="440"/>
    </row>
    <row r="120" spans="2:26">
      <c r="I120" s="572">
        <v>116175</v>
      </c>
      <c r="O120" s="369"/>
      <c r="P120" s="142"/>
      <c r="V120" s="440"/>
    </row>
    <row r="121" spans="2:26">
      <c r="O121" s="369"/>
      <c r="P121" s="369"/>
    </row>
    <row r="122" spans="2:26">
      <c r="O122" s="369"/>
      <c r="P122" s="369"/>
    </row>
    <row r="123" spans="2:26">
      <c r="C123" s="369">
        <f>5000+9000+2000+15000+2000+3000</f>
        <v>36000</v>
      </c>
      <c r="O123" s="369"/>
      <c r="P123" s="369"/>
    </row>
    <row r="124" spans="2:26">
      <c r="C124" s="369">
        <f>9000+3000+3000+2500</f>
        <v>17500</v>
      </c>
      <c r="O124" s="369"/>
      <c r="P124" s="369"/>
    </row>
    <row r="125" spans="2:26">
      <c r="C125" s="369"/>
      <c r="O125" s="369"/>
      <c r="P125" s="369"/>
    </row>
    <row r="126" spans="2:26">
      <c r="B126" s="680"/>
      <c r="C126" s="681"/>
      <c r="D126" s="565"/>
      <c r="O126" s="369"/>
      <c r="P126" s="369"/>
    </row>
    <row r="127" spans="2:26">
      <c r="B127" s="680"/>
      <c r="C127" s="681"/>
      <c r="D127" s="565"/>
      <c r="O127" s="369"/>
      <c r="P127" s="369"/>
    </row>
    <row r="128" spans="2:26">
      <c r="B128" s="680"/>
      <c r="C128" s="681"/>
      <c r="D128" s="565"/>
      <c r="E128" s="561"/>
      <c r="G128" s="369"/>
      <c r="O128" s="369"/>
      <c r="P128" s="369"/>
    </row>
    <row r="129" spans="2:16">
      <c r="B129" s="680"/>
      <c r="C129" s="681"/>
      <c r="D129" s="565"/>
      <c r="E129" s="561">
        <f>45883.73+4100</f>
        <v>49983.73</v>
      </c>
      <c r="O129" s="369"/>
      <c r="P129" s="369"/>
    </row>
    <row r="130" spans="2:16">
      <c r="B130" s="680"/>
      <c r="C130" s="681"/>
      <c r="D130" s="565"/>
      <c r="E130" s="561">
        <f>E129+1950</f>
        <v>51933.73</v>
      </c>
      <c r="O130" s="369"/>
      <c r="P130" s="369"/>
    </row>
    <row r="131" spans="2:16">
      <c r="B131" s="680"/>
      <c r="C131" s="681"/>
      <c r="D131" s="565"/>
      <c r="E131" s="561">
        <f>3470+E130</f>
        <v>55403.73</v>
      </c>
      <c r="O131" s="369"/>
      <c r="P131" s="369"/>
    </row>
    <row r="132" spans="2:16">
      <c r="B132" s="680">
        <f>5000*358</f>
        <v>1790000</v>
      </c>
      <c r="C132" s="682"/>
      <c r="D132" s="565"/>
      <c r="E132" s="561">
        <f>4320+E131</f>
        <v>59723.73</v>
      </c>
      <c r="I132" s="565"/>
      <c r="O132" s="369"/>
      <c r="P132" s="369"/>
    </row>
    <row r="133" spans="2:16">
      <c r="B133" s="680"/>
      <c r="C133" s="682"/>
      <c r="D133" s="565"/>
      <c r="E133" s="561">
        <f>3210+E132</f>
        <v>62933.73</v>
      </c>
      <c r="G133" s="440"/>
      <c r="H133" s="369"/>
      <c r="I133" s="440"/>
      <c r="O133" s="369"/>
      <c r="P133" s="369"/>
    </row>
    <row r="134" spans="2:16">
      <c r="B134" s="680"/>
      <c r="C134" s="682"/>
      <c r="D134" s="565"/>
      <c r="E134" s="683">
        <f>86.7+E133</f>
        <v>63020.43</v>
      </c>
      <c r="G134" s="369"/>
      <c r="I134" s="565"/>
      <c r="O134" s="369"/>
      <c r="P134" s="369"/>
    </row>
    <row r="135" spans="2:16">
      <c r="B135" s="680"/>
      <c r="C135" s="682"/>
      <c r="D135" s="565"/>
      <c r="E135" s="683">
        <f>-8.67+E134</f>
        <v>63011.76</v>
      </c>
      <c r="O135" s="369"/>
      <c r="P135" s="369"/>
    </row>
    <row r="136" spans="2:16">
      <c r="B136" s="680"/>
      <c r="C136" s="682"/>
      <c r="D136" s="565"/>
      <c r="E136" s="683">
        <f>E135-75</f>
        <v>62936.76</v>
      </c>
      <c r="O136" s="369"/>
      <c r="P136" s="369"/>
    </row>
    <row r="137" spans="2:16">
      <c r="B137" s="680">
        <f>2000+3000+23750+3500+17000+15000+7000+7000+7000+2000+7000+7000+2000+25000+6000+2500+3000+5000+3200</f>
        <v>147950</v>
      </c>
      <c r="C137" s="682"/>
      <c r="D137" s="565"/>
      <c r="O137" s="369"/>
      <c r="P137" s="369"/>
    </row>
    <row r="138" spans="2:16">
      <c r="B138" s="680"/>
      <c r="C138" s="682"/>
      <c r="D138" s="565"/>
      <c r="O138" s="369"/>
      <c r="P138" s="369"/>
    </row>
    <row r="139" spans="2:16">
      <c r="B139" s="680"/>
      <c r="C139" s="682"/>
      <c r="D139" s="565"/>
      <c r="O139" s="369"/>
      <c r="P139" s="369"/>
    </row>
    <row r="140" spans="2:16">
      <c r="B140" s="680"/>
      <c r="C140" s="682"/>
      <c r="D140" s="565"/>
      <c r="G140" s="369"/>
      <c r="H140" s="440"/>
      <c r="O140" s="369"/>
      <c r="P140" s="440"/>
    </row>
    <row r="141" spans="2:16">
      <c r="B141" s="680"/>
      <c r="C141" s="682"/>
      <c r="D141" s="565"/>
      <c r="G141" s="440"/>
      <c r="O141" s="369"/>
    </row>
    <row r="142" spans="2:16">
      <c r="B142" s="680"/>
      <c r="C142" s="682"/>
      <c r="D142" s="565"/>
      <c r="O142" s="369"/>
    </row>
    <row r="143" spans="2:16">
      <c r="B143" s="680"/>
      <c r="C143" s="682"/>
      <c r="D143" s="565"/>
      <c r="O143" s="369"/>
    </row>
    <row r="144" spans="2:16">
      <c r="B144" s="680"/>
      <c r="C144" s="682"/>
      <c r="D144" s="565"/>
      <c r="O144" s="369"/>
    </row>
    <row r="145" spans="2:16">
      <c r="B145" s="680"/>
      <c r="C145" s="682"/>
      <c r="D145" s="565"/>
      <c r="O145" s="440"/>
    </row>
    <row r="146" spans="2:16">
      <c r="B146" s="680"/>
      <c r="C146" s="682"/>
      <c r="D146" s="565"/>
      <c r="P146" s="440"/>
    </row>
    <row r="147" spans="2:16">
      <c r="B147" s="680"/>
      <c r="C147" s="682"/>
      <c r="D147" s="565"/>
      <c r="O147" s="440"/>
      <c r="P147" s="440"/>
    </row>
    <row r="148" spans="2:16">
      <c r="B148" s="680"/>
      <c r="C148" s="682"/>
      <c r="D148" s="565"/>
      <c r="O148" s="565"/>
      <c r="P148" s="440"/>
    </row>
    <row r="149" spans="2:16">
      <c r="B149" s="680"/>
      <c r="C149" s="565"/>
      <c r="D149" s="565"/>
      <c r="O149" s="440"/>
      <c r="P149" s="565"/>
    </row>
    <row r="150" spans="2:16">
      <c r="B150" s="680"/>
      <c r="C150" s="565"/>
      <c r="D150" s="565"/>
    </row>
    <row r="151" spans="2:16">
      <c r="C151" s="682"/>
      <c r="D151" s="565"/>
    </row>
    <row r="152" spans="2:16">
      <c r="D152" s="565"/>
    </row>
    <row r="153" spans="2:16">
      <c r="D153" s="565"/>
    </row>
    <row r="154" spans="2:16">
      <c r="D154" s="565"/>
    </row>
    <row r="155" spans="2:16">
      <c r="D155" s="565"/>
    </row>
    <row r="156" spans="2:16">
      <c r="D156" s="56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E27"/>
  <sheetViews>
    <sheetView workbookViewId="0"/>
  </sheetViews>
  <sheetFormatPr defaultRowHeight="15"/>
  <cols>
    <col min="1" max="1" width="16.5703125" customWidth="1"/>
    <col min="2" max="5" width="13.28515625" bestFit="1" customWidth="1"/>
  </cols>
  <sheetData>
    <row r="1" spans="1:5">
      <c r="B1" t="s">
        <v>11</v>
      </c>
      <c r="C1" t="s">
        <v>15</v>
      </c>
      <c r="D1" t="s">
        <v>19</v>
      </c>
      <c r="E1" t="s">
        <v>23</v>
      </c>
    </row>
    <row r="2" spans="1:5">
      <c r="A2" t="s">
        <v>132</v>
      </c>
      <c r="B2" s="2">
        <f>Reports!C18</f>
        <v>1901167</v>
      </c>
      <c r="C2" s="2">
        <f>Reports!F18</f>
        <v>1706804</v>
      </c>
      <c r="D2" s="2">
        <f>Reports!I18</f>
        <v>0</v>
      </c>
      <c r="E2" s="2">
        <f>Reports!L18</f>
        <v>0</v>
      </c>
    </row>
    <row r="3" spans="1:5">
      <c r="A3" t="s">
        <v>133</v>
      </c>
      <c r="B3" s="2">
        <f>Reports!C88</f>
        <v>0</v>
      </c>
      <c r="C3" s="2">
        <f>Reports!F88</f>
        <v>0</v>
      </c>
      <c r="D3" s="2">
        <f>Reports!I88</f>
        <v>0</v>
      </c>
      <c r="E3" s="2">
        <f>Reports!L88</f>
        <v>0</v>
      </c>
    </row>
    <row r="20" spans="1:3">
      <c r="A20" t="s">
        <v>88</v>
      </c>
      <c r="B20" t="s">
        <v>127</v>
      </c>
    </row>
    <row r="21" spans="1:3">
      <c r="A21" t="s">
        <v>76</v>
      </c>
      <c r="B21" s="2">
        <f>Reports!M26</f>
        <v>0</v>
      </c>
      <c r="C21" s="44">
        <f>B21/$B$27</f>
        <v>0</v>
      </c>
    </row>
    <row r="22" spans="1:3">
      <c r="A22" t="s">
        <v>57</v>
      </c>
      <c r="B22" s="2">
        <f>Reports!M48</f>
        <v>0</v>
      </c>
      <c r="C22" s="44">
        <f>B22/$B$27</f>
        <v>0</v>
      </c>
    </row>
    <row r="23" spans="1:3">
      <c r="A23" t="s">
        <v>60</v>
      </c>
      <c r="B23" s="2">
        <f>Reports!M53</f>
        <v>94000</v>
      </c>
      <c r="C23" s="44">
        <f>B23/$B$27</f>
        <v>0.40188114578879863</v>
      </c>
    </row>
    <row r="24" spans="1:3">
      <c r="A24" t="s">
        <v>66</v>
      </c>
      <c r="B24" s="2">
        <f>Reports!M71</f>
        <v>99900</v>
      </c>
      <c r="C24" s="44">
        <f>B24/$B$27</f>
        <v>0.42710560068405301</v>
      </c>
    </row>
    <row r="25" spans="1:3">
      <c r="A25" t="s">
        <v>67</v>
      </c>
      <c r="B25" s="2">
        <f>Reports!M79</f>
        <v>40000</v>
      </c>
      <c r="C25" s="44">
        <f>B25/$B$27</f>
        <v>0.17101325352714836</v>
      </c>
    </row>
    <row r="26" spans="1:3">
      <c r="A26" t="s">
        <v>100</v>
      </c>
      <c r="B26">
        <v>0</v>
      </c>
    </row>
    <row r="27" spans="1:3">
      <c r="B27" s="2">
        <f>SUM(B21:B26)</f>
        <v>233900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J122"/>
  <sheetViews>
    <sheetView view="pageBreakPreview" zoomScale="60" workbookViewId="0">
      <selection activeCell="B94" sqref="B94:E94"/>
    </sheetView>
  </sheetViews>
  <sheetFormatPr defaultRowHeight="15"/>
  <cols>
    <col min="1" max="1" width="8.28515625" customWidth="1"/>
    <col min="2" max="2" width="44.7109375" customWidth="1"/>
    <col min="3" max="3" width="17.85546875" customWidth="1"/>
    <col min="4" max="4" width="17.5703125" customWidth="1"/>
    <col min="5" max="5" width="16.28515625" customWidth="1"/>
    <col min="6" max="6" width="24" customWidth="1"/>
    <col min="7" max="7" width="23" customWidth="1"/>
  </cols>
  <sheetData>
    <row r="1" spans="1:7" ht="18" thickTop="1">
      <c r="A1" s="735" t="s">
        <v>30</v>
      </c>
      <c r="B1" s="736"/>
      <c r="C1" s="736"/>
      <c r="D1" s="736"/>
      <c r="E1" s="737"/>
    </row>
    <row r="2" spans="1:7" ht="17.25">
      <c r="A2" s="738" t="s">
        <v>103</v>
      </c>
      <c r="B2" s="759"/>
      <c r="C2" s="759"/>
      <c r="D2" s="759"/>
      <c r="E2" s="740"/>
    </row>
    <row r="3" spans="1:7" ht="17.25">
      <c r="A3" s="738" t="s">
        <v>99</v>
      </c>
      <c r="B3" s="759"/>
      <c r="C3" s="759"/>
      <c r="D3" s="759"/>
      <c r="E3" s="740"/>
    </row>
    <row r="4" spans="1:7">
      <c r="A4" s="18"/>
      <c r="B4" s="3"/>
      <c r="C4" s="3"/>
      <c r="E4" s="32"/>
    </row>
    <row r="5" spans="1:7" ht="27.75" customHeight="1">
      <c r="A5" s="19" t="s">
        <v>43</v>
      </c>
      <c r="B5" s="31" t="s">
        <v>40</v>
      </c>
      <c r="C5" s="7"/>
      <c r="D5" s="34" t="s">
        <v>41</v>
      </c>
      <c r="E5" s="39" t="s">
        <v>68</v>
      </c>
      <c r="F5" s="38" t="s">
        <v>69</v>
      </c>
    </row>
    <row r="6" spans="1:7" ht="17.25">
      <c r="A6" s="19">
        <v>1</v>
      </c>
      <c r="B6" s="67" t="str">
        <f>Details!B6</f>
        <v>Bank interest</v>
      </c>
      <c r="C6" s="4">
        <f>Details!G6</f>
        <v>105.94</v>
      </c>
      <c r="D6" s="35">
        <f>C6+Mar!D6</f>
        <v>291.10000000000002</v>
      </c>
      <c r="E6" s="41">
        <f>D6/F6</f>
        <v>0.48516666666666669</v>
      </c>
      <c r="F6" s="38">
        <f>Jan!F6</f>
        <v>600</v>
      </c>
      <c r="G6" s="3">
        <v>1449191</v>
      </c>
    </row>
    <row r="7" spans="1:7" ht="17.25">
      <c r="A7" s="19">
        <v>2</v>
      </c>
      <c r="B7" s="67" t="str">
        <f>Details!B7</f>
        <v>Benevolence</v>
      </c>
      <c r="C7" s="4">
        <f>Details!G7</f>
        <v>19540</v>
      </c>
      <c r="D7" s="35">
        <f>C7+Mar!D7</f>
        <v>81655</v>
      </c>
      <c r="E7" s="41">
        <f t="shared" ref="E7:E76" si="0">D7/F7</f>
        <v>0.54436666666666667</v>
      </c>
      <c r="F7" s="38">
        <f>Jan!F7</f>
        <v>150000</v>
      </c>
      <c r="G7" s="3">
        <v>231230</v>
      </c>
    </row>
    <row r="8" spans="1:7" ht="17.25">
      <c r="A8" s="19">
        <v>3</v>
      </c>
      <c r="B8" s="67" t="str">
        <f>Details!B8</f>
        <v>Building (cash and kind)</v>
      </c>
      <c r="C8" s="4">
        <f>Details!E8</f>
        <v>5000</v>
      </c>
      <c r="D8" s="35">
        <f>C8+Mar!D8</f>
        <v>47800</v>
      </c>
      <c r="E8" s="41">
        <f t="shared" si="0"/>
        <v>2.3900000000000001E-2</v>
      </c>
      <c r="F8" s="38">
        <f>Jan!F8</f>
        <v>2000000</v>
      </c>
      <c r="G8" s="3">
        <v>118980</v>
      </c>
    </row>
    <row r="9" spans="1:7" ht="17.25">
      <c r="A9" s="19">
        <v>4</v>
      </c>
      <c r="B9" s="67" t="str">
        <f>Details!B9</f>
        <v>Designated offering towards borehole</v>
      </c>
      <c r="C9" s="4">
        <f>Details!E9</f>
        <v>43000</v>
      </c>
      <c r="D9" s="35">
        <f>C9+Mar!D9</f>
        <v>461000</v>
      </c>
      <c r="E9" s="41">
        <f t="shared" si="0"/>
        <v>4.6100000000000003</v>
      </c>
      <c r="F9" s="38">
        <f>Jan!F9</f>
        <v>100000</v>
      </c>
      <c r="G9" s="3">
        <v>39110</v>
      </c>
    </row>
    <row r="10" spans="1:7" ht="17.25">
      <c r="A10" s="19">
        <v>5</v>
      </c>
      <c r="B10" s="67" t="str">
        <f>Details!B10</f>
        <v>Designated offering towards Praise Festival</v>
      </c>
      <c r="C10" s="4">
        <f>Details!E10</f>
        <v>0</v>
      </c>
      <c r="D10" s="35">
        <f>C10+Mar!D10</f>
        <v>0</v>
      </c>
      <c r="E10" s="41" t="e">
        <f t="shared" si="0"/>
        <v>#DIV/0!</v>
      </c>
      <c r="F10" s="38">
        <f>Jan!F10</f>
        <v>0</v>
      </c>
      <c r="G10" s="3">
        <v>254566</v>
      </c>
    </row>
    <row r="11" spans="1:7" ht="17.25">
      <c r="A11" s="19">
        <v>6</v>
      </c>
      <c r="B11" s="67" t="str">
        <f>Details!B11</f>
        <v>Foreign Mission offering</v>
      </c>
      <c r="C11" s="4">
        <f>Details!E11</f>
        <v>0</v>
      </c>
      <c r="D11" s="35">
        <f>C11+Mar!D11</f>
        <v>0</v>
      </c>
      <c r="E11" s="41" t="e">
        <f t="shared" si="0"/>
        <v>#DIV/0!</v>
      </c>
      <c r="F11" s="38">
        <f>Jan!F11</f>
        <v>0</v>
      </c>
      <c r="G11" s="3">
        <v>29145</v>
      </c>
    </row>
    <row r="12" spans="1:7" ht="17.25">
      <c r="A12" s="19">
        <v>7</v>
      </c>
      <c r="B12" s="71" t="str">
        <f>Details!B12</f>
        <v>Home Mission offering</v>
      </c>
      <c r="C12" s="47">
        <f>Details!E12</f>
        <v>0</v>
      </c>
      <c r="D12" s="48">
        <f>C12</f>
        <v>0</v>
      </c>
      <c r="E12" s="41"/>
      <c r="F12" s="38"/>
      <c r="G12" s="3">
        <v>20000</v>
      </c>
    </row>
    <row r="13" spans="1:7" ht="17.25">
      <c r="A13" s="19">
        <v>8</v>
      </c>
      <c r="B13" s="67" t="str">
        <f>Details!B14</f>
        <v>Designated - Teenagers' Church</v>
      </c>
      <c r="C13" s="4">
        <f>Details!E14</f>
        <v>0</v>
      </c>
      <c r="D13" s="35">
        <f>C13+Mar!D12</f>
        <v>100000</v>
      </c>
      <c r="E13" s="41">
        <f t="shared" si="0"/>
        <v>0.33333333333333331</v>
      </c>
      <c r="F13" s="38">
        <f>Jan!F12</f>
        <v>300000</v>
      </c>
      <c r="G13" s="3">
        <v>86.94</v>
      </c>
    </row>
    <row r="14" spans="1:7" ht="17.25">
      <c r="A14" s="19">
        <v>9</v>
      </c>
      <c r="B14" s="67" t="str">
        <f>Details!B15</f>
        <v>Offering</v>
      </c>
      <c r="C14" s="4">
        <f>Details!E15</f>
        <v>75650</v>
      </c>
      <c r="D14" s="35">
        <f>C14</f>
        <v>75650</v>
      </c>
      <c r="E14" s="41"/>
      <c r="F14" s="38"/>
      <c r="G14" s="3">
        <v>45000</v>
      </c>
    </row>
    <row r="15" spans="1:7" ht="17.25">
      <c r="A15" s="19">
        <v>10</v>
      </c>
      <c r="B15" s="67" t="str">
        <f>Details!B17</f>
        <v>Thanksgiving</v>
      </c>
      <c r="C15" s="4">
        <f>Details!E17</f>
        <v>57510</v>
      </c>
      <c r="D15" s="35">
        <f>C15+Mar!D13</f>
        <v>57510</v>
      </c>
      <c r="E15" s="41">
        <f t="shared" si="0"/>
        <v>1.1501999999999999</v>
      </c>
      <c r="F15" s="84">
        <f>Jan!F13</f>
        <v>50000</v>
      </c>
      <c r="G15" s="3">
        <v>20500</v>
      </c>
    </row>
    <row r="16" spans="1:7" ht="34.5">
      <c r="A16" s="19"/>
      <c r="B16" s="76" t="str">
        <f>Details!B20</f>
        <v>B/F from previous month/quarter: First Bank of Nigeria</v>
      </c>
      <c r="C16" s="47">
        <f>Mar!C79</f>
        <v>0</v>
      </c>
      <c r="D16" s="47">
        <f>Details!C20</f>
        <v>286762.07</v>
      </c>
      <c r="E16" s="41"/>
      <c r="F16" s="84">
        <f>Jan!F15</f>
        <v>1000000</v>
      </c>
      <c r="G16" s="3">
        <v>234907.01</v>
      </c>
    </row>
    <row r="17" spans="1:7" ht="17.25">
      <c r="A17" s="19"/>
      <c r="B17" s="75" t="str">
        <f>Details!B21</f>
        <v xml:space="preserve">                               Randalapha MFB</v>
      </c>
      <c r="C17" s="4">
        <f>Mar!C80</f>
        <v>0</v>
      </c>
      <c r="D17" s="4">
        <f>Details!C21</f>
        <v>16787.310000000001</v>
      </c>
      <c r="E17" s="41"/>
      <c r="F17" s="84">
        <f>Jan!F16</f>
        <v>170000</v>
      </c>
      <c r="G17" s="3">
        <v>17232.09</v>
      </c>
    </row>
    <row r="18" spans="1:7" ht="17.25">
      <c r="A18" s="19"/>
      <c r="B18" s="75" t="str">
        <f>Details!B22</f>
        <v xml:space="preserve">                               Access Bank (Building fund)</v>
      </c>
      <c r="C18" s="4">
        <f>Mar!C81</f>
        <v>751311.5</v>
      </c>
      <c r="D18" s="4">
        <f>Details!C22</f>
        <v>1513424.07</v>
      </c>
      <c r="E18" s="41"/>
      <c r="F18" s="84">
        <f>Jan!F17</f>
        <v>400000</v>
      </c>
      <c r="G18" s="3">
        <v>245709</v>
      </c>
    </row>
    <row r="19" spans="1:7" ht="17.25">
      <c r="A19" s="19"/>
      <c r="B19" s="75" t="str">
        <f>Details!B23</f>
        <v xml:space="preserve">                               Imprest Account (Cash on hand)</v>
      </c>
      <c r="C19" s="4">
        <f>Mar!C82</f>
        <v>481.5</v>
      </c>
      <c r="D19" s="4">
        <f>Details!C23</f>
        <v>3000</v>
      </c>
      <c r="E19" s="41"/>
      <c r="F19" s="84">
        <f>Jan!F18</f>
        <v>6500000</v>
      </c>
      <c r="G19" s="3">
        <v>23250</v>
      </c>
    </row>
    <row r="20" spans="1:7" ht="17.25">
      <c r="A20" s="19"/>
      <c r="B20" s="67" t="str">
        <f>Details!B24</f>
        <v>Total B/F from 2020 or last month or quarter</v>
      </c>
      <c r="C20" s="7">
        <f>SUM(C16:C19)</f>
        <v>751793</v>
      </c>
      <c r="D20" s="35">
        <f>Details!C24</f>
        <v>1819973.4500000002</v>
      </c>
      <c r="E20" s="41">
        <f t="shared" si="0"/>
        <v>6.3466324189946048</v>
      </c>
      <c r="F20" s="84">
        <f>Jan!F20</f>
        <v>286762.07</v>
      </c>
      <c r="G20" s="3">
        <v>521098.1</v>
      </c>
    </row>
    <row r="21" spans="1:7" ht="17.25">
      <c r="A21" s="19"/>
      <c r="B21" s="69" t="str">
        <f>Details!B25</f>
        <v>Total Income/Available cash</v>
      </c>
      <c r="C21" s="4">
        <f>Details!G25</f>
        <v>1585456.6899999997</v>
      </c>
      <c r="D21" s="35">
        <f>SUM(D6:D19)</f>
        <v>2643879.5499999998</v>
      </c>
      <c r="E21" s="41">
        <f t="shared" si="0"/>
        <v>157.49274600874111</v>
      </c>
      <c r="F21" s="84">
        <f>Jan!F21</f>
        <v>16787.310000000001</v>
      </c>
      <c r="G21" s="3">
        <v>2728907.04</v>
      </c>
    </row>
    <row r="22" spans="1:7" ht="17.25" hidden="1">
      <c r="A22" s="19"/>
      <c r="B22" s="70" t="e">
        <f>Details!#REF!</f>
        <v>#REF!</v>
      </c>
      <c r="C22" s="51" t="e">
        <f>Details!#REF!</f>
        <v>#REF!</v>
      </c>
      <c r="D22" s="52" t="e">
        <f>C22+Mar!D21</f>
        <v>#REF!</v>
      </c>
      <c r="E22" s="53"/>
      <c r="F22" s="77"/>
      <c r="G22" s="3"/>
    </row>
    <row r="23" spans="1:7" ht="17.25" hidden="1">
      <c r="A23" s="19"/>
      <c r="B23" s="70" t="e">
        <f>Details!#REF!</f>
        <v>#REF!</v>
      </c>
      <c r="C23" s="51">
        <f>Details!G27</f>
        <v>158880</v>
      </c>
      <c r="D23" s="52">
        <f>C23+Mar!D22</f>
        <v>1672304.07</v>
      </c>
      <c r="E23" s="53">
        <f t="shared" si="0"/>
        <v>0.13388529171172681</v>
      </c>
      <c r="F23" s="77">
        <f>Jan!F25</f>
        <v>12490573.450000001</v>
      </c>
      <c r="G23" s="3"/>
    </row>
    <row r="24" spans="1:7" ht="17.25">
      <c r="A24" s="19"/>
      <c r="B24" s="69" t="str">
        <f>Details!B26</f>
        <v>EXPENDITURE</v>
      </c>
      <c r="C24" s="4"/>
      <c r="D24" s="35"/>
      <c r="E24" s="41"/>
      <c r="F24" s="38"/>
      <c r="G24" s="3"/>
    </row>
    <row r="25" spans="1:7" ht="17.25">
      <c r="A25" s="19"/>
      <c r="B25" s="69" t="str">
        <f>Details!B27</f>
        <v>A. CHURCH MINISTRIES</v>
      </c>
      <c r="C25" s="7">
        <f>Details!G27</f>
        <v>158880</v>
      </c>
      <c r="D25" s="50">
        <f>C25+Mar!D23</f>
        <v>161880</v>
      </c>
      <c r="E25" s="59">
        <f t="shared" si="0"/>
        <v>1.2960173577939289E-2</v>
      </c>
      <c r="F25" s="84">
        <f>Jan!F25</f>
        <v>12490573.450000001</v>
      </c>
      <c r="G25" s="3">
        <v>201065</v>
      </c>
    </row>
    <row r="26" spans="1:7" ht="17.25">
      <c r="A26" s="19"/>
      <c r="B26" s="67" t="str">
        <f>Details!B28</f>
        <v>Benevolence</v>
      </c>
      <c r="C26" s="4">
        <f>Details!G28</f>
        <v>0</v>
      </c>
      <c r="D26" s="35">
        <f>C26+Mar!D24</f>
        <v>1819973.4500000002</v>
      </c>
      <c r="E26" s="41" t="e">
        <f t="shared" si="0"/>
        <v>#DIV/0!</v>
      </c>
      <c r="F26" s="84">
        <f>Jan!F26</f>
        <v>0</v>
      </c>
      <c r="G26" s="3">
        <v>16320</v>
      </c>
    </row>
    <row r="27" spans="1:7" ht="17.25">
      <c r="A27" s="19"/>
      <c r="B27" s="67" t="str">
        <f>Details!B29</f>
        <v>Childrens' Department</v>
      </c>
      <c r="C27" s="4">
        <f>Details!G29</f>
        <v>4240</v>
      </c>
      <c r="D27" s="35">
        <f>C27+Mar!D25</f>
        <v>4803810.6100000003</v>
      </c>
      <c r="E27" s="41">
        <f t="shared" si="0"/>
        <v>1.5945729967469962</v>
      </c>
      <c r="F27" s="84">
        <f>Jan!F27</f>
        <v>3012600</v>
      </c>
      <c r="G27" s="3">
        <v>85550</v>
      </c>
    </row>
    <row r="28" spans="1:7" ht="17.25">
      <c r="A28" s="19"/>
      <c r="B28" s="67" t="str">
        <f>Details!B30</f>
        <v>Church decorations</v>
      </c>
      <c r="C28" s="4">
        <f>Details!G30</f>
        <v>0</v>
      </c>
      <c r="D28" s="35">
        <f>C28+Mar!D26</f>
        <v>0</v>
      </c>
      <c r="E28" s="41">
        <f t="shared" si="0"/>
        <v>0</v>
      </c>
      <c r="F28" s="84">
        <f>Jan!F28</f>
        <v>357000</v>
      </c>
      <c r="G28" s="3">
        <v>10000</v>
      </c>
    </row>
    <row r="29" spans="1:7" ht="17.25">
      <c r="A29" s="19"/>
      <c r="B29" s="67" t="str">
        <f>Details!B31</f>
        <v>Church Maintenance</v>
      </c>
      <c r="C29" s="4">
        <f>Details!G31</f>
        <v>0</v>
      </c>
      <c r="D29" s="35">
        <f>C29+Mar!D27</f>
        <v>612630</v>
      </c>
      <c r="E29" s="41">
        <f t="shared" si="0"/>
        <v>2.320568181818182</v>
      </c>
      <c r="F29" s="84">
        <f>Jan!F29</f>
        <v>264000</v>
      </c>
      <c r="G29" s="3">
        <v>4700</v>
      </c>
    </row>
    <row r="30" spans="1:7" ht="17.25" hidden="1">
      <c r="A30" s="19"/>
      <c r="B30" s="67" t="str">
        <f>Details!B33</f>
        <v>Discipleship Department</v>
      </c>
      <c r="C30" s="4">
        <f>Details!G33</f>
        <v>0</v>
      </c>
      <c r="D30" s="35">
        <f>C30+Mar!D28</f>
        <v>104940</v>
      </c>
      <c r="E30" s="41">
        <f t="shared" si="0"/>
        <v>4.1976000000000004</v>
      </c>
      <c r="F30" s="84">
        <f>Jan!F30</f>
        <v>25000</v>
      </c>
      <c r="G30" s="3">
        <v>0</v>
      </c>
    </row>
    <row r="31" spans="1:7" ht="17.25" hidden="1">
      <c r="A31" s="19"/>
      <c r="B31" s="67" t="str">
        <f>Details!B34</f>
        <v>Drama Committee</v>
      </c>
      <c r="C31" s="4">
        <f>Details!G34</f>
        <v>0</v>
      </c>
      <c r="D31" s="35">
        <f>C31+Mar!D29</f>
        <v>64440</v>
      </c>
      <c r="E31" s="41">
        <f t="shared" si="0"/>
        <v>3.222</v>
      </c>
      <c r="F31" s="84">
        <f>Jan!F31</f>
        <v>20000</v>
      </c>
      <c r="G31" s="3">
        <v>0</v>
      </c>
    </row>
    <row r="32" spans="1:7" ht="17.25">
      <c r="A32" s="19"/>
      <c r="B32" s="67" t="str">
        <f>Details!B35</f>
        <v>End of year outreach - Heaven's Link Praise Festival</v>
      </c>
      <c r="C32" s="4">
        <f>Details!G35</f>
        <v>0</v>
      </c>
      <c r="D32" s="35">
        <f>C32+Mar!D30</f>
        <v>0</v>
      </c>
      <c r="E32" s="41">
        <f t="shared" si="0"/>
        <v>0</v>
      </c>
      <c r="F32" s="84">
        <f>Jan!F33</f>
        <v>15000</v>
      </c>
      <c r="G32" s="3">
        <v>23045</v>
      </c>
    </row>
    <row r="33" spans="1:7" ht="17.25">
      <c r="A33" s="19"/>
      <c r="B33" s="67" t="str">
        <f>Details!B36</f>
        <v>Evangelism Committee</v>
      </c>
      <c r="C33" s="4">
        <f>Details!G36</f>
        <v>100000</v>
      </c>
      <c r="D33" s="35">
        <f>C33+Mar!D31</f>
        <v>100000</v>
      </c>
      <c r="E33" s="41">
        <f t="shared" si="0"/>
        <v>2.8571428571428572</v>
      </c>
      <c r="F33" s="84">
        <f>Jan!F34</f>
        <v>35000</v>
      </c>
      <c r="G33" s="3">
        <v>4500</v>
      </c>
    </row>
    <row r="34" spans="1:7" ht="17.25">
      <c r="A34" s="19"/>
      <c r="B34" s="67" t="str">
        <f>Details!B37</f>
        <v>Exemplary Youth Award</v>
      </c>
      <c r="C34" s="4">
        <f>Details!G37</f>
        <v>0</v>
      </c>
      <c r="D34" s="35">
        <f>C34+Mar!D32</f>
        <v>0</v>
      </c>
      <c r="E34" s="41">
        <f t="shared" si="0"/>
        <v>0</v>
      </c>
      <c r="F34" s="84">
        <f>Jan!F35</f>
        <v>130000</v>
      </c>
      <c r="G34" s="3">
        <v>11000</v>
      </c>
    </row>
    <row r="35" spans="1:7" ht="17.25" hidden="1">
      <c r="A35" s="19"/>
      <c r="B35" s="67" t="str">
        <f>Details!B39</f>
        <v>Health Committee</v>
      </c>
      <c r="C35" s="4">
        <f>Details!G39</f>
        <v>0</v>
      </c>
      <c r="D35" s="35">
        <f>C35+Mar!D33</f>
        <v>0</v>
      </c>
      <c r="E35" s="41">
        <f t="shared" si="0"/>
        <v>0</v>
      </c>
      <c r="F35" s="84">
        <f>Jan!F36</f>
        <v>500000</v>
      </c>
      <c r="G35" s="3">
        <v>0</v>
      </c>
    </row>
    <row r="36" spans="1:7" ht="17.25">
      <c r="A36" s="19"/>
      <c r="B36" s="67" t="str">
        <f>Details!B40</f>
        <v>Hospitality Committee</v>
      </c>
      <c r="C36" s="4">
        <f>Details!G40</f>
        <v>6140</v>
      </c>
      <c r="D36" s="35">
        <f>C36+Mar!D34</f>
        <v>6140</v>
      </c>
      <c r="E36" s="41">
        <f t="shared" si="0"/>
        <v>8.1866666666666671E-2</v>
      </c>
      <c r="F36" s="84">
        <f>Jan!F37</f>
        <v>75000</v>
      </c>
      <c r="G36" s="3">
        <v>10350</v>
      </c>
    </row>
    <row r="37" spans="1:7" ht="17.25">
      <c r="A37" s="19"/>
      <c r="B37" s="67" t="str">
        <f>Details!B41</f>
        <v>Media/Sound Unit</v>
      </c>
      <c r="C37" s="4">
        <f>Details!G41</f>
        <v>0</v>
      </c>
      <c r="D37" s="35">
        <f>C37+Mar!D35</f>
        <v>0</v>
      </c>
      <c r="E37" s="41">
        <f t="shared" si="0"/>
        <v>0</v>
      </c>
      <c r="F37" s="84">
        <f>Jan!F38</f>
        <v>38000</v>
      </c>
      <c r="G37" s="3">
        <v>13600</v>
      </c>
    </row>
    <row r="38" spans="1:7" ht="17.25" hidden="1">
      <c r="A38" s="19"/>
      <c r="B38" s="67" t="str">
        <f>Details!B42</f>
        <v>MMU</v>
      </c>
      <c r="C38" s="4">
        <f>Details!G42</f>
        <v>0</v>
      </c>
      <c r="D38" s="35">
        <f>C38+Mar!D36</f>
        <v>106400</v>
      </c>
      <c r="E38" s="41">
        <f t="shared" si="0"/>
        <v>3.0840579710144929</v>
      </c>
      <c r="F38" s="84">
        <f>Jan!F39</f>
        <v>34500</v>
      </c>
      <c r="G38" s="3">
        <v>0</v>
      </c>
    </row>
    <row r="39" spans="1:7" ht="17.25">
      <c r="A39" s="19"/>
      <c r="B39" s="67" t="str">
        <f>Details!B43</f>
        <v>Music Department</v>
      </c>
      <c r="C39" s="4">
        <f>Details!G43</f>
        <v>28000</v>
      </c>
      <c r="D39" s="35">
        <f>C39+Mar!D37</f>
        <v>28000</v>
      </c>
      <c r="E39" s="41">
        <f t="shared" si="0"/>
        <v>0.106544901065449</v>
      </c>
      <c r="F39" s="84">
        <f>Jan!F40</f>
        <v>262800</v>
      </c>
      <c r="G39" s="3">
        <v>4500</v>
      </c>
    </row>
    <row r="40" spans="1:7" ht="17.25">
      <c r="A40" s="19"/>
      <c r="B40" s="67" t="str">
        <f>Details!B44</f>
        <v>Nominating</v>
      </c>
      <c r="C40" s="4">
        <f>Details!G44</f>
        <v>0</v>
      </c>
      <c r="D40" s="35">
        <f>C40+Mar!D38</f>
        <v>24000</v>
      </c>
      <c r="E40" s="41">
        <f t="shared" si="0"/>
        <v>0.16</v>
      </c>
      <c r="F40" s="84">
        <f>Jan!F41</f>
        <v>150000</v>
      </c>
      <c r="G40" s="3">
        <v>15000</v>
      </c>
    </row>
    <row r="41" spans="1:7" ht="17.25" hidden="1">
      <c r="A41" s="19"/>
      <c r="B41" s="67" t="str">
        <f>Details!B46</f>
        <v>Personnel</v>
      </c>
      <c r="C41" s="4">
        <f>Details!G46</f>
        <v>0</v>
      </c>
      <c r="D41" s="35">
        <f>C41+Mar!D39</f>
        <v>3200</v>
      </c>
      <c r="E41" s="41">
        <f t="shared" si="0"/>
        <v>6.4000000000000001E-2</v>
      </c>
      <c r="F41" s="84">
        <f>Jan!F42</f>
        <v>50000</v>
      </c>
      <c r="G41" s="3">
        <v>0</v>
      </c>
    </row>
    <row r="42" spans="1:7" ht="17.25">
      <c r="A42" s="19"/>
      <c r="B42" s="67" t="str">
        <f>Details!B47</f>
        <v>Sanctuary supplies</v>
      </c>
      <c r="C42" s="4">
        <f>Details!G47</f>
        <v>4000</v>
      </c>
      <c r="D42" s="35">
        <f>C42+Mar!D40</f>
        <v>9950</v>
      </c>
      <c r="E42" s="41">
        <f t="shared" si="0"/>
        <v>3.5409252669039146E-2</v>
      </c>
      <c r="F42" s="84">
        <f>Jan!F43</f>
        <v>281000</v>
      </c>
      <c r="G42" s="3">
        <v>1000</v>
      </c>
    </row>
    <row r="43" spans="1:7" ht="17.25">
      <c r="A43" s="19"/>
      <c r="B43" s="67" t="str">
        <f>Details!B49</f>
        <v xml:space="preserve">Sunday School </v>
      </c>
      <c r="C43" s="4">
        <f>Details!G49</f>
        <v>0</v>
      </c>
      <c r="D43" s="35">
        <f>C43+Mar!D41</f>
        <v>27400</v>
      </c>
      <c r="E43" s="41" t="e">
        <f t="shared" si="0"/>
        <v>#DIV/0!</v>
      </c>
      <c r="F43" s="84">
        <f>Jan!F44</f>
        <v>0</v>
      </c>
      <c r="G43" s="3">
        <v>500</v>
      </c>
    </row>
    <row r="44" spans="1:7" ht="17.25" hidden="1">
      <c r="A44" s="19"/>
      <c r="B44" s="67" t="str">
        <f>Details!B50</f>
        <v>Ushers Committee</v>
      </c>
      <c r="C44" s="4">
        <f>Details!G50</f>
        <v>0</v>
      </c>
      <c r="D44" s="35">
        <f>C44+Mar!D42</f>
        <v>0</v>
      </c>
      <c r="E44" s="41">
        <f t="shared" si="0"/>
        <v>0</v>
      </c>
      <c r="F44" s="84">
        <f>Jan!F45</f>
        <v>200000</v>
      </c>
      <c r="G44" s="3">
        <v>0</v>
      </c>
    </row>
    <row r="45" spans="1:7" ht="17.25">
      <c r="A45" s="19"/>
      <c r="B45" s="67" t="str">
        <f>Details!B51</f>
        <v>Visitation Committee</v>
      </c>
      <c r="C45" s="4">
        <f>Details!G51</f>
        <v>1500</v>
      </c>
      <c r="D45" s="35">
        <f>C45+Mar!D43</f>
        <v>22500</v>
      </c>
      <c r="E45" s="41" t="e">
        <f t="shared" si="0"/>
        <v>#DIV/0!</v>
      </c>
      <c r="F45" s="84">
        <f>Jan!F46</f>
        <v>0</v>
      </c>
      <c r="G45" s="3">
        <v>1000</v>
      </c>
    </row>
    <row r="46" spans="1:7" ht="17.25">
      <c r="A46" s="19"/>
      <c r="B46" s="67"/>
      <c r="C46" s="4"/>
      <c r="D46" s="35"/>
      <c r="E46" s="41"/>
      <c r="F46" s="38"/>
      <c r="G46" s="3"/>
    </row>
    <row r="47" spans="1:7" ht="17.25">
      <c r="A47" s="19"/>
      <c r="B47" s="69" t="str">
        <f>Details!B57</f>
        <v>B. CHURCH STAFF</v>
      </c>
      <c r="C47" s="7">
        <f>Details!G57</f>
        <v>288766.63</v>
      </c>
      <c r="D47" s="50">
        <f>C47+Mar!D45</f>
        <v>288766.63</v>
      </c>
      <c r="E47" s="59">
        <f t="shared" si="0"/>
        <v>28.876663000000001</v>
      </c>
      <c r="F47" s="84">
        <f>Jan!F48</f>
        <v>10000</v>
      </c>
      <c r="G47" s="3">
        <v>486661.6</v>
      </c>
    </row>
    <row r="48" spans="1:7" ht="17.25">
      <c r="A48" s="19"/>
      <c r="B48" s="67" t="str">
        <f>Details!B58</f>
        <v>Church Pastor (salaries and allowances)</v>
      </c>
      <c r="C48" s="4">
        <f>Details!G58</f>
        <v>138424.13</v>
      </c>
      <c r="D48" s="35">
        <f>C48+Mar!D46</f>
        <v>138424.13</v>
      </c>
      <c r="E48" s="41">
        <f t="shared" si="0"/>
        <v>3.6620140211640213</v>
      </c>
      <c r="F48" s="84">
        <f>Jan!F49</f>
        <v>37800</v>
      </c>
      <c r="G48" s="3">
        <v>344661.6</v>
      </c>
    </row>
    <row r="49" spans="1:7" ht="17.25">
      <c r="A49" s="19"/>
      <c r="B49" s="67" t="str">
        <f>Details!B59</f>
        <v>Other Pastors</v>
      </c>
      <c r="C49" s="4">
        <f>Details!G59</f>
        <v>86878</v>
      </c>
      <c r="D49" s="35">
        <f>C49+Mar!D47</f>
        <v>158378</v>
      </c>
      <c r="E49" s="41">
        <f t="shared" si="0"/>
        <v>19.797249999999998</v>
      </c>
      <c r="F49" s="84">
        <f>Jan!F50</f>
        <v>8000</v>
      </c>
      <c r="G49" s="3">
        <v>118000</v>
      </c>
    </row>
    <row r="50" spans="1:7" ht="17.25">
      <c r="A50" s="19"/>
      <c r="B50" s="67" t="str">
        <f>Details!B60</f>
        <v>Janitor</v>
      </c>
      <c r="C50" s="4">
        <f>Details!G60</f>
        <v>63464.5</v>
      </c>
      <c r="D50" s="35">
        <f>C50+Mar!D48</f>
        <v>63464.5</v>
      </c>
      <c r="E50" s="41">
        <f t="shared" si="0"/>
        <v>3.9665312500000001</v>
      </c>
      <c r="F50" s="84">
        <f>Jan!F51</f>
        <v>16000</v>
      </c>
      <c r="G50" s="3">
        <v>24000</v>
      </c>
    </row>
    <row r="51" spans="1:7" ht="17.25">
      <c r="A51" s="19"/>
      <c r="B51" s="67"/>
      <c r="C51" s="4"/>
      <c r="D51" s="35"/>
      <c r="E51" s="41"/>
      <c r="F51" s="38"/>
      <c r="G51" s="3"/>
    </row>
    <row r="52" spans="1:7" ht="17.25">
      <c r="A52" s="19"/>
      <c r="B52" s="69" t="str">
        <f>Details!B62</f>
        <v>C. OPERATION COSTS</v>
      </c>
      <c r="C52" s="7">
        <f>Details!G62</f>
        <v>178883.12</v>
      </c>
      <c r="D52" s="50">
        <f>C52+Mar!D50</f>
        <v>181383.12</v>
      </c>
      <c r="E52" s="59">
        <f t="shared" si="0"/>
        <v>2.1853387951807228</v>
      </c>
      <c r="F52" s="84">
        <f>Jan!F53</f>
        <v>83000</v>
      </c>
      <c r="G52" s="3">
        <v>284174.91000000003</v>
      </c>
    </row>
    <row r="53" spans="1:7" ht="17.25" hidden="1">
      <c r="A53" s="19"/>
      <c r="B53" s="67" t="str">
        <f>Details!B64</f>
        <v xml:space="preserve">Bank charges: sms, maintenance, VAT etc. </v>
      </c>
      <c r="C53" s="4">
        <f>Details!G64</f>
        <v>2083.12</v>
      </c>
      <c r="D53" s="35">
        <f>C53+Mar!D51</f>
        <v>6583.12</v>
      </c>
      <c r="E53" s="41">
        <f t="shared" si="0"/>
        <v>0.329156</v>
      </c>
      <c r="F53" s="84">
        <f>Jan!F54</f>
        <v>20000</v>
      </c>
      <c r="G53" s="3">
        <v>0</v>
      </c>
    </row>
    <row r="54" spans="1:7" ht="17.25">
      <c r="A54" s="19"/>
      <c r="B54" s="71" t="str">
        <f>Details!B65</f>
        <v>Church Council refreshments</v>
      </c>
      <c r="C54" s="4">
        <f>Details!G65</f>
        <v>0</v>
      </c>
      <c r="D54" s="35">
        <f>C54+Mar!D52</f>
        <v>42000</v>
      </c>
      <c r="E54" s="41" t="e">
        <f t="shared" si="0"/>
        <v>#DIV/0!</v>
      </c>
      <c r="F54" s="84">
        <f>Jan!F55</f>
        <v>0</v>
      </c>
      <c r="G54" s="3">
        <v>4634.91</v>
      </c>
    </row>
    <row r="55" spans="1:7" ht="17.25">
      <c r="A55" s="19"/>
      <c r="B55" s="67" t="str">
        <f>Details!B66</f>
        <v>Church secreteriat</v>
      </c>
      <c r="C55" s="4">
        <f>Details!G66</f>
        <v>9000</v>
      </c>
      <c r="D55" s="35">
        <f>C55+Mar!D53</f>
        <v>78000</v>
      </c>
      <c r="E55" s="41" t="e">
        <f t="shared" si="0"/>
        <v>#DIV/0!</v>
      </c>
      <c r="F55" s="84">
        <f>Jan!F56</f>
        <v>0</v>
      </c>
      <c r="G55" s="3">
        <v>0</v>
      </c>
    </row>
    <row r="56" spans="1:7" ht="17.25">
      <c r="A56" s="19"/>
      <c r="B56" s="67" t="str">
        <f>Details!B67</f>
        <v>Convention session</v>
      </c>
      <c r="C56" s="4">
        <f>Details!G67</f>
        <v>122300</v>
      </c>
      <c r="D56" s="35">
        <f>C56+Mar!D54</f>
        <v>156700</v>
      </c>
      <c r="E56" s="41">
        <f t="shared" si="0"/>
        <v>5.4037978456813275E-2</v>
      </c>
      <c r="F56" s="84">
        <f>Jan!F57</f>
        <v>2899812.4</v>
      </c>
      <c r="G56" s="3">
        <v>5990</v>
      </c>
    </row>
    <row r="57" spans="1:7" ht="17.25">
      <c r="A57" s="19"/>
      <c r="B57" s="71" t="str">
        <f>Details!B68</f>
        <v>Electricity - church auditorium</v>
      </c>
      <c r="C57" s="4">
        <f>Details!G68</f>
        <v>0</v>
      </c>
      <c r="D57" s="35">
        <f>C57+Mar!D55</f>
        <v>0</v>
      </c>
      <c r="E57" s="41">
        <f t="shared" si="0"/>
        <v>0</v>
      </c>
      <c r="F57" s="84">
        <f>Jan!F58</f>
        <v>1635201.09</v>
      </c>
      <c r="G57" s="3">
        <v>8300</v>
      </c>
    </row>
    <row r="58" spans="1:7" ht="17.25" hidden="1">
      <c r="A58" s="19"/>
      <c r="B58" s="67" t="str">
        <f>Details!B69</f>
        <v>Electricity - Pastorium</v>
      </c>
      <c r="C58" s="4">
        <f>Details!G69</f>
        <v>0</v>
      </c>
      <c r="D58" s="35">
        <f>C58+Mar!D56</f>
        <v>0</v>
      </c>
      <c r="E58" s="41">
        <f>D58/F58</f>
        <v>0</v>
      </c>
      <c r="F58" s="84">
        <f>Jan!F59</f>
        <v>790000</v>
      </c>
      <c r="G58" s="3">
        <v>0</v>
      </c>
    </row>
    <row r="59" spans="1:7" ht="17.25">
      <c r="A59" s="19"/>
      <c r="B59" s="67" t="str">
        <f>Details!B70</f>
        <v>Generators - fuel and maintenance church auditorium</v>
      </c>
      <c r="C59" s="4">
        <f>Details!G70</f>
        <v>26600</v>
      </c>
      <c r="D59" s="35">
        <f>C59+Mar!D57</f>
        <v>646521.6399999999</v>
      </c>
      <c r="E59" s="41">
        <f t="shared" si="0"/>
        <v>1.3622128811047505</v>
      </c>
      <c r="F59" s="84">
        <f>Jan!F60</f>
        <v>474611.31</v>
      </c>
      <c r="G59" s="3">
        <v>28900</v>
      </c>
    </row>
    <row r="60" spans="1:7" ht="17.25">
      <c r="A60" s="19"/>
      <c r="B60" s="67" t="str">
        <f>Details!B71</f>
        <v>Generators - fuel and maintenance pastorium</v>
      </c>
      <c r="C60" s="4">
        <f>Details!G71</f>
        <v>18900</v>
      </c>
      <c r="D60" s="35">
        <f>C60+Mar!D58</f>
        <v>356120.38</v>
      </c>
      <c r="E60" s="41" t="e">
        <f t="shared" si="0"/>
        <v>#DIV/0!</v>
      </c>
      <c r="F60" s="84">
        <f>Jan!F61</f>
        <v>0</v>
      </c>
      <c r="G60" s="3">
        <v>88000</v>
      </c>
    </row>
    <row r="61" spans="1:7" ht="17.25">
      <c r="A61" s="19"/>
      <c r="B61" s="67" t="str">
        <f>Details!B72</f>
        <v>Keep fit instructor</v>
      </c>
      <c r="C61" s="4">
        <f>Details!G72</f>
        <v>0</v>
      </c>
      <c r="D61" s="35">
        <f>C61+Mar!D59</f>
        <v>181000</v>
      </c>
      <c r="E61" s="41">
        <f t="shared" si="0"/>
        <v>0.16938049784765113</v>
      </c>
      <c r="F61" s="84">
        <f>Jan!F62</f>
        <v>1068600</v>
      </c>
      <c r="G61" s="3">
        <v>7500</v>
      </c>
    </row>
    <row r="62" spans="1:7" ht="17.25" hidden="1">
      <c r="A62" s="19"/>
      <c r="B62" s="67" t="str">
        <f>Details!B73</f>
        <v xml:space="preserve">Ministers' Conference </v>
      </c>
      <c r="C62" s="4">
        <f>Details!G73</f>
        <v>0</v>
      </c>
      <c r="D62" s="35">
        <f>C62</f>
        <v>0</v>
      </c>
      <c r="E62" s="41">
        <f t="shared" si="0"/>
        <v>0</v>
      </c>
      <c r="F62" s="84">
        <f>Jan!F64</f>
        <v>22000</v>
      </c>
      <c r="G62" s="3">
        <v>0</v>
      </c>
    </row>
    <row r="63" spans="1:7" ht="17.25">
      <c r="A63" s="19"/>
      <c r="B63" s="67" t="str">
        <f>Details!B74</f>
        <v>Miscellanous (transport for CAN Minister, honorarium for supervisor)</v>
      </c>
      <c r="C63" s="4">
        <f>Details!G74</f>
        <v>0</v>
      </c>
      <c r="D63" s="35">
        <f>C63+Mar!D61</f>
        <v>0</v>
      </c>
      <c r="E63" s="41">
        <f t="shared" si="0"/>
        <v>0</v>
      </c>
      <c r="F63" s="84">
        <f>Jan!F65</f>
        <v>24000</v>
      </c>
      <c r="G63" s="3">
        <v>5000</v>
      </c>
    </row>
    <row r="64" spans="1:7" ht="17.25" hidden="1">
      <c r="A64" s="19"/>
      <c r="B64" s="67" t="str">
        <f>Details!B75</f>
        <v>Motorcycle</v>
      </c>
      <c r="C64" s="4">
        <f>Details!G75</f>
        <v>0</v>
      </c>
      <c r="D64" s="35">
        <f>C64+Mar!D62</f>
        <v>208629.23924999998</v>
      </c>
      <c r="E64" s="41">
        <f t="shared" si="0"/>
        <v>3.4771539874999999</v>
      </c>
      <c r="F64" s="84">
        <f>Jan!F66</f>
        <v>60000</v>
      </c>
      <c r="G64" s="3">
        <v>0</v>
      </c>
    </row>
    <row r="65" spans="1:7" ht="17.25">
      <c r="A65" s="19"/>
      <c r="B65" s="71" t="str">
        <f>Details!B76</f>
        <v>Ogbomoso Conference</v>
      </c>
      <c r="C65" s="4">
        <f>Details!G76</f>
        <v>0</v>
      </c>
      <c r="D65" s="35">
        <f>C65+Mar!D63</f>
        <v>0</v>
      </c>
      <c r="E65" s="41">
        <f t="shared" si="0"/>
        <v>0</v>
      </c>
      <c r="F65" s="84">
        <f>Jan!F67</f>
        <v>20000</v>
      </c>
      <c r="G65" s="3">
        <v>51185</v>
      </c>
    </row>
    <row r="66" spans="1:7" ht="17.25">
      <c r="A66" s="19"/>
      <c r="B66" s="71" t="str">
        <f>Details!B77</f>
        <v xml:space="preserve">Pastorium rent &amp; maintenance </v>
      </c>
      <c r="C66" s="4">
        <f>Details!G77</f>
        <v>0</v>
      </c>
      <c r="D66" s="35">
        <f>C66+Mar!D64</f>
        <v>8419.2400000000016</v>
      </c>
      <c r="E66" s="41">
        <f t="shared" si="0"/>
        <v>0.26310125000000006</v>
      </c>
      <c r="F66" s="84">
        <f>Jan!F68</f>
        <v>32000</v>
      </c>
      <c r="G66" s="3">
        <v>47665</v>
      </c>
    </row>
    <row r="67" spans="1:7" ht="17.25">
      <c r="A67" s="19"/>
      <c r="B67" s="67" t="str">
        <f>Details!B78</f>
        <v>Pastors Wives' retreat</v>
      </c>
      <c r="C67" s="4">
        <f>Details!G78</f>
        <v>0</v>
      </c>
      <c r="D67" s="35">
        <f>C67+Mar!D65</f>
        <v>6000</v>
      </c>
      <c r="E67" s="41">
        <f t="shared" si="0"/>
        <v>0.125</v>
      </c>
      <c r="F67" s="84">
        <f>Jan!F69</f>
        <v>48000</v>
      </c>
      <c r="G67" s="3">
        <v>6000</v>
      </c>
    </row>
    <row r="68" spans="1:7" ht="17.25">
      <c r="A68" s="19"/>
      <c r="B68" s="71" t="str">
        <f>Details!B79</f>
        <v>Workers' retreat organized by the church</v>
      </c>
      <c r="C68" s="4">
        <f>Details!G79</f>
        <v>0</v>
      </c>
      <c r="D68" s="35">
        <f>C68+Mar!D66</f>
        <v>28660</v>
      </c>
      <c r="E68" s="41">
        <f t="shared" si="0"/>
        <v>0.10781117140411375</v>
      </c>
      <c r="F68" s="84">
        <f>Jan!F70</f>
        <v>265835.15999999997</v>
      </c>
      <c r="G68" s="3">
        <v>31000</v>
      </c>
    </row>
    <row r="69" spans="1:7" ht="17.25">
      <c r="A69" s="19"/>
      <c r="B69" s="67"/>
      <c r="C69" s="4"/>
      <c r="D69" s="35"/>
      <c r="E69" s="41"/>
      <c r="F69" s="38"/>
      <c r="G69" s="3"/>
    </row>
    <row r="70" spans="1:7" ht="34.5">
      <c r="A70" s="19"/>
      <c r="B70" s="72" t="str">
        <f>Details!B81</f>
        <v>D. NEW AUDITORIUM &amp; OTHER PROJECTS</v>
      </c>
      <c r="C70" s="47">
        <f>Details!G81</f>
        <v>284066</v>
      </c>
      <c r="D70" s="48">
        <f>C70+Mar!D68</f>
        <v>289066</v>
      </c>
      <c r="E70" s="49" t="e">
        <f t="shared" si="0"/>
        <v>#DIV/0!</v>
      </c>
      <c r="F70" s="84">
        <f>Jan!F72</f>
        <v>0</v>
      </c>
      <c r="G70" s="3">
        <v>259600</v>
      </c>
    </row>
    <row r="71" spans="1:7" ht="17.25" hidden="1">
      <c r="A71" s="19"/>
      <c r="B71" s="67" t="str">
        <f>Details!B82</f>
        <v>Bank charges - Access bank</v>
      </c>
      <c r="C71" s="4">
        <f>Details!G82</f>
        <v>66</v>
      </c>
      <c r="D71" s="35">
        <f>C71</f>
        <v>66</v>
      </c>
      <c r="E71" s="41">
        <f t="shared" si="0"/>
        <v>1.0999999999999999E-2</v>
      </c>
      <c r="F71" s="84">
        <f>Jan!F73</f>
        <v>6000</v>
      </c>
      <c r="G71" s="3">
        <v>0</v>
      </c>
    </row>
    <row r="72" spans="1:7" ht="17.25">
      <c r="A72" s="19"/>
      <c r="B72" s="67" t="str">
        <f>Details!B83</f>
        <v>Borehole</v>
      </c>
      <c r="C72" s="4">
        <f>Details!G83</f>
        <v>20000</v>
      </c>
      <c r="D72" s="35">
        <f>C72+Mar!D70</f>
        <v>69349.999249999993</v>
      </c>
      <c r="E72" s="41">
        <f t="shared" si="0"/>
        <v>1.3869999849999999</v>
      </c>
      <c r="F72" s="84">
        <f>Jan!F74</f>
        <v>50000</v>
      </c>
      <c r="G72" s="3">
        <v>300</v>
      </c>
    </row>
    <row r="73" spans="1:7" ht="17.25">
      <c r="A73" s="19"/>
      <c r="B73" s="67" t="str">
        <f>Details!B84</f>
        <v>Development loan refund</v>
      </c>
      <c r="C73" s="4">
        <f>Details!G84</f>
        <v>0</v>
      </c>
      <c r="D73" s="35">
        <f>C73+Mar!D71</f>
        <v>42400</v>
      </c>
      <c r="E73" s="41" t="e">
        <f t="shared" si="0"/>
        <v>#DIV/0!</v>
      </c>
      <c r="F73" s="84">
        <f>Jan!F75</f>
        <v>0</v>
      </c>
      <c r="G73" s="3">
        <v>214300</v>
      </c>
    </row>
    <row r="74" spans="1:7" ht="17.25">
      <c r="A74" s="19"/>
      <c r="B74" s="67" t="str">
        <f>Details!B85</f>
        <v>Gift-in-kind towards church auditorium</v>
      </c>
      <c r="C74" s="4">
        <f>Details!G85</f>
        <v>0</v>
      </c>
      <c r="D74" s="35">
        <f>C74+Mar!D72</f>
        <v>0</v>
      </c>
      <c r="E74" s="41"/>
      <c r="F74" s="38"/>
      <c r="G74" s="3">
        <v>45000</v>
      </c>
    </row>
    <row r="75" spans="1:7" ht="17.25">
      <c r="A75" s="19"/>
      <c r="B75" s="67"/>
      <c r="C75" s="4"/>
      <c r="D75" s="35"/>
      <c r="E75" s="41"/>
      <c r="F75" s="38"/>
      <c r="G75" s="3"/>
    </row>
    <row r="76" spans="1:7" ht="17.25">
      <c r="A76" s="19"/>
      <c r="B76" s="69" t="str">
        <f>Details!B89</f>
        <v>E. COOPERATIVE FUNDS</v>
      </c>
      <c r="C76" s="4">
        <f>Details!G89</f>
        <v>0</v>
      </c>
      <c r="D76" s="35">
        <f>C76+Mar!D73</f>
        <v>0</v>
      </c>
      <c r="E76" s="41">
        <f t="shared" si="0"/>
        <v>0</v>
      </c>
      <c r="F76" s="84">
        <f>Jan!F77</f>
        <v>150000</v>
      </c>
      <c r="G76" s="3">
        <v>563635.77</v>
      </c>
    </row>
    <row r="77" spans="1:7" ht="34.5">
      <c r="A77" s="19"/>
      <c r="B77" s="71" t="str">
        <f>Details!B90</f>
        <v>Association contributions - 3% of tithes &amp; SS, thanksgiving and general offerings</v>
      </c>
      <c r="C77" s="47">
        <f>Details!G90</f>
        <v>0</v>
      </c>
      <c r="D77" s="48">
        <f>C77+Mar!D74</f>
        <v>5000</v>
      </c>
      <c r="E77" s="85">
        <f>D77/F77</f>
        <v>1</v>
      </c>
      <c r="F77" s="86">
        <f>Jan!F78</f>
        <v>5000</v>
      </c>
      <c r="G77" s="3">
        <v>398155.46</v>
      </c>
    </row>
    <row r="78" spans="1:7" ht="34.5">
      <c r="A78" s="19"/>
      <c r="B78" s="71" t="str">
        <f>Details!B91</f>
        <v>Conference contributions - 7% of tithes &amp;  SS, thanksgiving and general offerings</v>
      </c>
      <c r="C78" s="47">
        <f>Details!G91</f>
        <v>0</v>
      </c>
      <c r="D78" s="48">
        <f>C78+Mar!D75</f>
        <v>3800</v>
      </c>
      <c r="E78" s="85">
        <f>D78/F78</f>
        <v>7.5999999999999998E-2</v>
      </c>
      <c r="F78" s="86">
        <f>Jan!F79</f>
        <v>50000</v>
      </c>
      <c r="G78" s="3">
        <v>115825.31</v>
      </c>
    </row>
    <row r="79" spans="1:7" ht="34.5">
      <c r="A79" s="19"/>
      <c r="B79" s="71" t="str">
        <f>Details!B92</f>
        <v>Convention contributions - 20% of tithes &amp; SS, thanksgiving and general  offerings</v>
      </c>
      <c r="C79" s="47">
        <f>Details!G92</f>
        <v>0</v>
      </c>
      <c r="D79" s="48">
        <f>C79+Mar!D76</f>
        <v>0</v>
      </c>
      <c r="E79" s="85" t="e">
        <f>D79/F79</f>
        <v>#REF!</v>
      </c>
      <c r="F79" s="86" t="e">
        <f>Jan!#REF!</f>
        <v>#REF!</v>
      </c>
      <c r="G79" s="3">
        <v>49655</v>
      </c>
    </row>
    <row r="80" spans="1:7" ht="17.25">
      <c r="A80" s="19"/>
      <c r="B80" s="71"/>
      <c r="C80" s="4"/>
      <c r="D80" s="1"/>
      <c r="E80" s="1"/>
      <c r="F80" s="81"/>
      <c r="G80" s="3"/>
    </row>
    <row r="81" spans="1:7" ht="17.25">
      <c r="A81" s="19"/>
      <c r="B81" s="72" t="str">
        <f>Details!B94</f>
        <v>F. DESIGNATED SAVINGS</v>
      </c>
      <c r="C81" s="7">
        <f>Details!G94</f>
        <v>100000</v>
      </c>
      <c r="D81" s="8">
        <f>SUM(D82:D83)</f>
        <v>211701.26</v>
      </c>
      <c r="E81" s="1"/>
      <c r="F81" s="81"/>
      <c r="G81" s="3">
        <v>437900</v>
      </c>
    </row>
    <row r="82" spans="1:7" ht="34.5">
      <c r="A82" s="19"/>
      <c r="B82" s="71" t="str">
        <f>Details!B95</f>
        <v>Pastorium (rent, development of land etc.)</v>
      </c>
      <c r="C82" s="4">
        <f>Details!G95</f>
        <v>0</v>
      </c>
      <c r="D82" s="78">
        <f>C82+Mar!D60</f>
        <v>101701.26</v>
      </c>
      <c r="E82" s="1"/>
      <c r="F82" s="81"/>
      <c r="G82" s="3">
        <v>150000</v>
      </c>
    </row>
    <row r="83" spans="1:7" ht="17.25">
      <c r="A83" s="19"/>
      <c r="B83" s="71" t="str">
        <f>Details!B96</f>
        <v>New auditorium</v>
      </c>
      <c r="C83" s="4">
        <f>Details!G96</f>
        <v>100000</v>
      </c>
      <c r="D83" s="78">
        <f>C83+Mar!D69</f>
        <v>110000</v>
      </c>
      <c r="E83" s="1"/>
      <c r="F83" s="81"/>
      <c r="G83" s="3">
        <v>287900</v>
      </c>
    </row>
    <row r="84" spans="1:7" ht="17.25">
      <c r="A84" s="19"/>
      <c r="B84" s="71"/>
      <c r="C84" s="4"/>
      <c r="D84" s="1"/>
      <c r="E84" s="1"/>
      <c r="F84" s="81"/>
      <c r="G84" s="3"/>
    </row>
    <row r="85" spans="1:7" ht="17.25">
      <c r="A85" s="19"/>
      <c r="B85" s="72" t="str">
        <f>Details!B98</f>
        <v>Total Expenditure</v>
      </c>
      <c r="C85" s="7">
        <f>Details!G98</f>
        <v>1010595.75</v>
      </c>
      <c r="D85" s="8">
        <f>C79+Mar!D77</f>
        <v>0</v>
      </c>
      <c r="E85" s="79">
        <f>D85/F85</f>
        <v>0</v>
      </c>
      <c r="F85" s="84">
        <f>Jan!F81</f>
        <v>4152000</v>
      </c>
      <c r="G85" s="3">
        <v>2233037.2800000003</v>
      </c>
    </row>
    <row r="86" spans="1:7" ht="34.5">
      <c r="A86" s="19"/>
      <c r="B86" s="72" t="str">
        <f>Details!B99</f>
        <v>Balances in the church's accounts plus imprest account</v>
      </c>
      <c r="C86" s="57">
        <f>Details!G99</f>
        <v>674860.94</v>
      </c>
      <c r="D86" s="87">
        <f>C86</f>
        <v>674860.94</v>
      </c>
      <c r="E86" s="88"/>
      <c r="F86" s="86">
        <f>Jan!F82</f>
        <v>2000</v>
      </c>
      <c r="G86" s="3">
        <v>779793.71</v>
      </c>
    </row>
    <row r="87" spans="1:7" ht="17.25">
      <c r="A87" s="19"/>
      <c r="B87" s="67" t="str">
        <f>Details!B100</f>
        <v>First Bank of Nigeria</v>
      </c>
      <c r="C87" s="4">
        <f>Details!G100</f>
        <v>94865.45</v>
      </c>
      <c r="D87" s="78">
        <f>C87</f>
        <v>94865.45</v>
      </c>
      <c r="E87" s="1"/>
      <c r="F87" s="84"/>
      <c r="G87" s="3">
        <v>244124.68</v>
      </c>
    </row>
    <row r="88" spans="1:7" ht="17.25">
      <c r="A88" s="19"/>
      <c r="B88" s="67" t="str">
        <f>Details!B103</f>
        <v>Randalpha MFB</v>
      </c>
      <c r="C88" s="4">
        <f>Details!G103</f>
        <v>78493.3</v>
      </c>
      <c r="D88" s="78">
        <f>C88</f>
        <v>78493.3</v>
      </c>
      <c r="E88" s="1"/>
      <c r="F88" s="84"/>
      <c r="G88" s="3">
        <v>97794.03</v>
      </c>
    </row>
    <row r="89" spans="1:7" ht="17.25">
      <c r="A89" s="19"/>
      <c r="B89" s="67" t="str">
        <f>Details!B104</f>
        <v>Access Bank</v>
      </c>
      <c r="C89" s="4">
        <f>Details!G104</f>
        <v>501502.19</v>
      </c>
      <c r="D89" s="78">
        <f>C89</f>
        <v>501502.19</v>
      </c>
      <c r="E89" s="1"/>
      <c r="F89" s="84"/>
      <c r="G89" s="3">
        <v>437875</v>
      </c>
    </row>
    <row r="90" spans="1:7" ht="17.25">
      <c r="A90" s="19"/>
      <c r="B90" s="67" t="str">
        <f>Details!B107</f>
        <v>Imprest account (cash on hand)</v>
      </c>
      <c r="C90" s="4">
        <f>Details!G107</f>
        <v>0</v>
      </c>
      <c r="D90" s="78">
        <f>C90</f>
        <v>0</v>
      </c>
      <c r="E90" s="1"/>
      <c r="F90" s="84"/>
      <c r="G90" s="3">
        <v>0</v>
      </c>
    </row>
    <row r="91" spans="1:7" ht="17.25">
      <c r="A91" s="19"/>
      <c r="B91" s="67"/>
      <c r="C91" s="4"/>
      <c r="D91" s="78"/>
      <c r="E91" s="1"/>
      <c r="F91" s="84"/>
      <c r="G91" s="3"/>
    </row>
    <row r="92" spans="1:7" ht="17.25">
      <c r="A92" s="19"/>
      <c r="B92" s="67" t="s">
        <v>93</v>
      </c>
      <c r="C92" s="4"/>
      <c r="D92" s="78"/>
      <c r="E92" s="1"/>
      <c r="F92" s="84"/>
      <c r="G92" s="3"/>
    </row>
    <row r="93" spans="1:7" ht="51.75" customHeight="1">
      <c r="A93" s="19"/>
      <c r="B93" s="781" t="s">
        <v>104</v>
      </c>
      <c r="C93" s="782"/>
      <c r="D93" s="782"/>
      <c r="E93" s="783"/>
      <c r="F93" s="84"/>
      <c r="G93" s="3"/>
    </row>
    <row r="94" spans="1:7" ht="158.25" customHeight="1">
      <c r="A94" s="19"/>
      <c r="B94" s="781" t="s">
        <v>105</v>
      </c>
      <c r="C94" s="782"/>
      <c r="D94" s="782"/>
      <c r="E94" s="783"/>
      <c r="F94" s="84"/>
      <c r="G94" s="3"/>
    </row>
    <row r="95" spans="1:7" ht="36" customHeight="1">
      <c r="A95" s="19"/>
      <c r="B95" s="781" t="s">
        <v>106</v>
      </c>
      <c r="C95" s="782"/>
      <c r="D95" s="782"/>
      <c r="E95" s="783"/>
      <c r="F95" s="84"/>
      <c r="G95" s="23" t="s">
        <v>94</v>
      </c>
    </row>
    <row r="96" spans="1:7" ht="50.25" customHeight="1">
      <c r="A96" s="19"/>
      <c r="B96" s="781" t="s">
        <v>107</v>
      </c>
      <c r="C96" s="782"/>
      <c r="D96" s="782"/>
      <c r="E96" s="783"/>
      <c r="F96" s="84"/>
      <c r="G96" s="23" t="s">
        <v>95</v>
      </c>
    </row>
    <row r="97" spans="1:10" ht="17.25">
      <c r="A97" s="19"/>
      <c r="B97" s="67"/>
      <c r="C97" s="4"/>
      <c r="D97" s="78"/>
      <c r="E97" s="1"/>
      <c r="F97" s="84"/>
      <c r="G97" s="23" t="s">
        <v>96</v>
      </c>
    </row>
    <row r="98" spans="1:10" ht="17.25">
      <c r="A98" s="19"/>
      <c r="B98" s="67"/>
      <c r="C98" s="4"/>
      <c r="D98" s="78"/>
      <c r="E98" s="1"/>
      <c r="F98" s="84"/>
      <c r="G98" s="23" t="s">
        <v>101</v>
      </c>
    </row>
    <row r="99" spans="1:10" ht="17.25">
      <c r="A99" s="19"/>
      <c r="B99" s="67"/>
      <c r="C99" s="4"/>
      <c r="D99" s="78"/>
      <c r="E99" s="1"/>
      <c r="F99" s="84"/>
      <c r="G99" s="23" t="s">
        <v>102</v>
      </c>
      <c r="J99">
        <f>34496+17248</f>
        <v>51744</v>
      </c>
    </row>
    <row r="100" spans="1:10" ht="17.25">
      <c r="A100" s="19"/>
      <c r="B100" s="67"/>
      <c r="C100" s="4"/>
      <c r="D100" s="78"/>
      <c r="E100" s="1"/>
      <c r="F100" s="84"/>
      <c r="G100" s="23" t="s">
        <v>97</v>
      </c>
    </row>
    <row r="101" spans="1:10" ht="17.25">
      <c r="A101" s="19"/>
      <c r="B101" s="67"/>
      <c r="C101" s="4"/>
      <c r="D101" s="78"/>
      <c r="E101" s="1"/>
      <c r="F101" s="84"/>
      <c r="G101" s="3"/>
    </row>
    <row r="102" spans="1:10" ht="17.25">
      <c r="A102" s="19"/>
      <c r="B102" s="67"/>
      <c r="C102" s="4"/>
      <c r="D102" s="78"/>
      <c r="E102" s="1"/>
      <c r="F102" s="84"/>
      <c r="G102" s="3"/>
    </row>
    <row r="103" spans="1:10" ht="17.25">
      <c r="A103" s="19"/>
      <c r="B103" s="67"/>
      <c r="C103" s="4"/>
      <c r="D103" s="78"/>
      <c r="E103" s="1"/>
      <c r="F103" s="84"/>
      <c r="G103" s="3"/>
    </row>
    <row r="104" spans="1:10" ht="17.25">
      <c r="A104" s="19"/>
      <c r="B104" s="67"/>
      <c r="C104" s="4"/>
      <c r="D104" s="78"/>
      <c r="E104" s="1"/>
      <c r="F104" s="84"/>
      <c r="G104" s="3"/>
    </row>
    <row r="105" spans="1:10" ht="17.25">
      <c r="A105" s="19"/>
      <c r="B105" s="67"/>
      <c r="C105" s="4"/>
      <c r="D105" s="78"/>
      <c r="E105" s="1"/>
      <c r="F105" s="84"/>
      <c r="G105" s="3"/>
    </row>
    <row r="106" spans="1:10" ht="17.25">
      <c r="A106" s="19"/>
      <c r="B106" s="67"/>
      <c r="C106" s="4"/>
      <c r="D106" s="78"/>
      <c r="E106" s="1"/>
      <c r="F106" s="84"/>
      <c r="G106" s="3"/>
    </row>
    <row r="107" spans="1:10" ht="17.25">
      <c r="A107" s="19"/>
      <c r="B107" s="67"/>
      <c r="C107" s="4"/>
      <c r="D107" s="78"/>
      <c r="E107" s="1"/>
      <c r="F107" s="84"/>
      <c r="G107" s="3"/>
    </row>
    <row r="108" spans="1:10" ht="17.25">
      <c r="A108" s="19"/>
      <c r="B108" s="67"/>
      <c r="C108" s="4"/>
      <c r="D108" s="78"/>
      <c r="E108" s="1"/>
      <c r="F108" s="84"/>
      <c r="G108" s="3"/>
    </row>
    <row r="109" spans="1:10" ht="17.25">
      <c r="A109" s="19"/>
      <c r="B109" s="67"/>
      <c r="C109" s="4"/>
      <c r="D109" s="78"/>
      <c r="E109" s="1"/>
      <c r="F109" s="84"/>
      <c r="G109" s="3"/>
    </row>
    <row r="110" spans="1:10" ht="17.25">
      <c r="A110" s="19"/>
      <c r="B110" s="67"/>
      <c r="C110" s="4"/>
      <c r="D110" s="78"/>
      <c r="E110" s="1"/>
      <c r="F110" s="84"/>
      <c r="G110" s="3"/>
    </row>
    <row r="111" spans="1:10" ht="17.25">
      <c r="A111" s="19"/>
      <c r="B111" s="67"/>
      <c r="C111" s="4"/>
      <c r="D111" s="78"/>
      <c r="E111" s="1"/>
      <c r="F111" s="84"/>
      <c r="G111" s="3"/>
    </row>
    <row r="112" spans="1:10" ht="17.25">
      <c r="A112" s="19"/>
      <c r="B112" s="67"/>
      <c r="C112" s="4"/>
      <c r="D112" s="78"/>
      <c r="E112" s="1"/>
      <c r="F112" s="84"/>
      <c r="G112" s="3"/>
    </row>
    <row r="113" spans="1:7" ht="17.25">
      <c r="A113" s="19"/>
      <c r="B113" s="67"/>
      <c r="C113" s="4"/>
      <c r="D113" s="78"/>
      <c r="E113" s="1"/>
      <c r="F113" s="84"/>
      <c r="G113" s="3"/>
    </row>
    <row r="114" spans="1:7" ht="34.5">
      <c r="A114" s="19"/>
      <c r="B114" s="72" t="str">
        <f>Details!B108</f>
        <v>CONSOLIDATED INCOME &amp; EXPENDITURE REPORT</v>
      </c>
      <c r="C114" s="4"/>
      <c r="D114" s="1"/>
      <c r="E114" s="1"/>
      <c r="F114" s="81"/>
      <c r="G114" s="3"/>
    </row>
    <row r="115" spans="1:7" ht="34.5">
      <c r="A115" s="19"/>
      <c r="B115" s="71" t="str">
        <f>Details!B109</f>
        <v>Income from all sources, including B/F from 2020</v>
      </c>
      <c r="C115" s="4">
        <f>Details!G109</f>
        <v>1585456.6899999997</v>
      </c>
      <c r="D115" s="78">
        <f>D21</f>
        <v>2643879.5499999998</v>
      </c>
      <c r="E115" s="1"/>
      <c r="F115" s="81">
        <f>Jan!F88</f>
        <v>0</v>
      </c>
      <c r="G115" s="3">
        <v>3508700.75</v>
      </c>
    </row>
    <row r="116" spans="1:7" ht="17.25">
      <c r="A116" s="19"/>
      <c r="B116" s="67" t="str">
        <f>Details!B110</f>
        <v>Total expenditure on new auditorium</v>
      </c>
      <c r="C116" s="4">
        <f>Details!G110</f>
        <v>264066</v>
      </c>
      <c r="D116" s="78">
        <f>C116+Mar!D84</f>
        <v>264066</v>
      </c>
      <c r="E116" s="1"/>
      <c r="F116" s="81">
        <f>Jan!F89</f>
        <v>2421000</v>
      </c>
      <c r="G116" s="3">
        <v>0</v>
      </c>
    </row>
    <row r="117" spans="1:7" ht="34.5">
      <c r="A117" s="19"/>
      <c r="B117" s="71" t="str">
        <f>Details!B111</f>
        <v>General expenditure including amount transferred to building fund</v>
      </c>
      <c r="C117" s="4">
        <f>Details!G111</f>
        <v>746529.75</v>
      </c>
      <c r="D117" s="78">
        <f>C117+Mar!D85</f>
        <v>767329.75</v>
      </c>
      <c r="E117" s="1"/>
      <c r="F117" s="81">
        <f>Jan!F90</f>
        <v>242100</v>
      </c>
      <c r="G117" s="3">
        <v>2233037.2800000003</v>
      </c>
    </row>
    <row r="118" spans="1:7" ht="35.25" thickBot="1">
      <c r="A118" s="33"/>
      <c r="B118" s="73" t="str">
        <f>Details!B112</f>
        <v>Total expenditure: new auditorium &amp; general</v>
      </c>
      <c r="C118" s="30">
        <f>Details!G112</f>
        <v>1010595.75</v>
      </c>
      <c r="D118" s="30">
        <f>C118+Mar!D86</f>
        <v>3036895.75</v>
      </c>
      <c r="E118" s="82"/>
      <c r="F118" s="83">
        <f>Jan!F91</f>
        <v>564900</v>
      </c>
      <c r="G118" s="3">
        <v>2233037.2800000003</v>
      </c>
    </row>
    <row r="119" spans="1:7" ht="18" thickTop="1">
      <c r="A119" s="80"/>
      <c r="B119" s="74" t="str">
        <f>Details!B113</f>
        <v>Control</v>
      </c>
      <c r="C119" s="29">
        <f>C115-C118-C86</f>
        <v>-100000.00000000023</v>
      </c>
      <c r="D119" s="29">
        <f>D115-D118-D86</f>
        <v>-1067877.1400000001</v>
      </c>
      <c r="E119" s="80"/>
      <c r="F119" s="80"/>
      <c r="G119" s="3">
        <v>495869.75999999978</v>
      </c>
    </row>
    <row r="122" spans="1:7">
      <c r="C122" s="2">
        <f>D119-C119</f>
        <v>-967877.1399999999</v>
      </c>
    </row>
  </sheetData>
  <mergeCells count="7">
    <mergeCell ref="B96:E96"/>
    <mergeCell ref="A1:E1"/>
    <mergeCell ref="A2:E2"/>
    <mergeCell ref="A3:E3"/>
    <mergeCell ref="B93:E93"/>
    <mergeCell ref="B94:E94"/>
    <mergeCell ref="B95:E95"/>
  </mergeCells>
  <pageMargins left="0.7" right="0.7" top="0.75" bottom="0.75" header="0.3" footer="0.3"/>
  <pageSetup scale="86" orientation="portrait" r:id="rId1"/>
  <rowBreaks count="2" manualBreakCount="2">
    <brk id="51" max="4" man="1"/>
    <brk id="91" max="4" man="1"/>
  </rowBreaks>
</worksheet>
</file>

<file path=xl/worksheets/sheet22.xml><?xml version="1.0" encoding="utf-8"?>
<worksheet xmlns="http://schemas.openxmlformats.org/spreadsheetml/2006/main" xmlns:r="http://schemas.openxmlformats.org/officeDocument/2006/relationships">
  <dimension ref="A1:Y153"/>
  <sheetViews>
    <sheetView topLeftCell="A103" workbookViewId="0">
      <selection activeCell="B95" sqref="B95:B96"/>
    </sheetView>
  </sheetViews>
  <sheetFormatPr defaultRowHeight="15"/>
  <cols>
    <col min="1" max="1" width="71.140625" style="20" customWidth="1"/>
    <col min="2" max="3" width="19.5703125" customWidth="1"/>
    <col min="4" max="4" width="17.28515625" customWidth="1"/>
    <col min="5" max="5" width="20.140625" customWidth="1"/>
    <col min="6" max="6" width="19.5703125" customWidth="1"/>
    <col min="7" max="7" width="19.42578125" customWidth="1"/>
    <col min="8" max="8" width="18.85546875" customWidth="1"/>
    <col min="9" max="9" width="18.5703125" customWidth="1"/>
    <col min="10" max="10" width="24.140625" style="3" customWidth="1"/>
    <col min="11" max="11" width="19.85546875" customWidth="1"/>
    <col min="12" max="12" width="18.5703125" customWidth="1"/>
    <col min="13" max="13" width="19.5703125" style="3" customWidth="1"/>
    <col min="14" max="14" width="19.42578125" customWidth="1"/>
    <col min="15" max="15" width="18.85546875" customWidth="1"/>
    <col min="16" max="16" width="18.5703125" customWidth="1"/>
    <col min="17" max="17" width="20.5703125" customWidth="1"/>
    <col min="18" max="18" width="19.5703125" customWidth="1"/>
    <col min="19" max="19" width="19.85546875" customWidth="1"/>
    <col min="20" max="20" width="21.140625" customWidth="1"/>
    <col min="21" max="21" width="24" customWidth="1"/>
    <col min="22" max="22" width="26" style="199" customWidth="1"/>
    <col min="24" max="24" width="10.5703125" bestFit="1" customWidth="1"/>
    <col min="25" max="25" width="33.42578125" customWidth="1"/>
  </cols>
  <sheetData>
    <row r="1" spans="1:22">
      <c r="A1" s="193"/>
      <c r="B1" s="3"/>
      <c r="C1" s="341">
        <v>0.2</v>
      </c>
      <c r="D1" s="3">
        <f>C1*B$4</f>
        <v>0</v>
      </c>
      <c r="K1" s="2"/>
      <c r="N1" s="3"/>
      <c r="S1">
        <f>30000+17265+2740+2400+11060</f>
        <v>63465</v>
      </c>
    </row>
    <row r="2" spans="1:22">
      <c r="A2" s="108">
        <f>69850+33940+16760+4110</f>
        <v>124660</v>
      </c>
      <c r="B2" s="3"/>
      <c r="C2" s="341">
        <v>7.0000000000000007E-2</v>
      </c>
      <c r="D2" s="3">
        <f>C2*B$4</f>
        <v>0</v>
      </c>
      <c r="E2" s="2"/>
      <c r="F2" s="2"/>
      <c r="G2" s="2"/>
      <c r="H2" s="2"/>
      <c r="J2" s="60"/>
      <c r="K2" s="60"/>
      <c r="L2" s="60"/>
      <c r="N2" s="3"/>
      <c r="O2" s="2"/>
      <c r="P2" s="3"/>
      <c r="Q2" s="195"/>
      <c r="S2" s="2">
        <f>67790+14030+113900+2380+4600</f>
        <v>202700</v>
      </c>
      <c r="T2">
        <f>30000+17265+2740+2400+11060+5</f>
        <v>63470</v>
      </c>
      <c r="U2">
        <f>12150+16390+2450</f>
        <v>30990</v>
      </c>
      <c r="V2" s="199">
        <f>8900+13230+3750+2230</f>
        <v>28110</v>
      </c>
    </row>
    <row r="3" spans="1:22">
      <c r="A3" s="108">
        <f>16800+20680+300+3510</f>
        <v>41290</v>
      </c>
      <c r="B3" s="3"/>
      <c r="C3" s="341">
        <v>0.03</v>
      </c>
      <c r="D3" s="3">
        <f>C3*B$4</f>
        <v>0</v>
      </c>
      <c r="E3" s="3"/>
      <c r="F3" s="5">
        <f>577337.58-570400.58</f>
        <v>6937</v>
      </c>
      <c r="H3" s="2"/>
      <c r="J3" s="410"/>
      <c r="K3" s="410"/>
      <c r="L3" s="410"/>
      <c r="M3" s="188"/>
      <c r="N3" s="2"/>
      <c r="P3" s="2"/>
    </row>
    <row r="4" spans="1:22">
      <c r="A4" s="108"/>
      <c r="B4" s="60"/>
      <c r="D4" s="3"/>
      <c r="F4" s="2"/>
      <c r="H4" s="2"/>
      <c r="J4" s="423"/>
      <c r="K4" s="422"/>
      <c r="L4" s="422"/>
      <c r="M4" s="426"/>
      <c r="N4" s="3"/>
      <c r="O4" s="2"/>
    </row>
    <row r="5" spans="1:22" ht="21">
      <c r="A5" s="202"/>
      <c r="B5" s="203" t="s">
        <v>24</v>
      </c>
      <c r="C5" s="203" t="s">
        <v>25</v>
      </c>
      <c r="D5" s="203" t="s">
        <v>26</v>
      </c>
      <c r="E5" s="204" t="s">
        <v>11</v>
      </c>
      <c r="F5" s="203" t="s">
        <v>12</v>
      </c>
      <c r="G5" s="203" t="s">
        <v>13</v>
      </c>
      <c r="H5" s="203" t="s">
        <v>14</v>
      </c>
      <c r="I5" s="204" t="s">
        <v>15</v>
      </c>
      <c r="J5" s="205" t="s">
        <v>16</v>
      </c>
      <c r="K5" s="203" t="s">
        <v>17</v>
      </c>
      <c r="L5" s="203" t="s">
        <v>18</v>
      </c>
      <c r="M5" s="206" t="s">
        <v>19</v>
      </c>
      <c r="N5" s="203" t="s">
        <v>20</v>
      </c>
      <c r="O5" s="203" t="s">
        <v>21</v>
      </c>
      <c r="P5" s="203" t="s">
        <v>22</v>
      </c>
      <c r="Q5" s="204" t="s">
        <v>23</v>
      </c>
      <c r="R5" s="207" t="s">
        <v>39</v>
      </c>
      <c r="S5" s="207" t="s">
        <v>37</v>
      </c>
      <c r="T5" s="207" t="s">
        <v>27</v>
      </c>
      <c r="U5" s="207" t="s">
        <v>28</v>
      </c>
      <c r="V5" s="208" t="s">
        <v>144</v>
      </c>
    </row>
    <row r="6" spans="1:22" ht="21">
      <c r="A6" s="209" t="s">
        <v>10</v>
      </c>
      <c r="B6" s="210">
        <v>44.97</v>
      </c>
      <c r="C6" s="211"/>
      <c r="D6" s="212"/>
      <c r="E6" s="211">
        <f>SUM(B6:D6)</f>
        <v>44.97</v>
      </c>
      <c r="F6" s="213"/>
      <c r="G6" s="213"/>
      <c r="H6" s="213"/>
      <c r="I6" s="213">
        <f>SUM(F6:H6)</f>
        <v>0</v>
      </c>
      <c r="J6" s="213"/>
      <c r="K6" s="213"/>
      <c r="L6" s="213"/>
      <c r="M6" s="213">
        <f>SUM(J6:L6)</f>
        <v>0</v>
      </c>
      <c r="N6" s="213"/>
      <c r="O6" s="214"/>
      <c r="P6" s="214"/>
      <c r="Q6" s="214">
        <f>SUM(N6:P6)</f>
        <v>0</v>
      </c>
      <c r="R6" s="215">
        <f>E6</f>
        <v>44.97</v>
      </c>
      <c r="S6" s="215">
        <f>E6+I6</f>
        <v>44.97</v>
      </c>
      <c r="T6" s="215">
        <f>E6+I6+M6</f>
        <v>44.97</v>
      </c>
      <c r="U6" s="215">
        <f>E6+I6+M6+Q6</f>
        <v>44.97</v>
      </c>
      <c r="V6" s="315">
        <v>2500</v>
      </c>
    </row>
    <row r="7" spans="1:22" ht="21">
      <c r="A7" s="209" t="s">
        <v>3</v>
      </c>
      <c r="B7" s="210">
        <f>3100+3310+3080+3050</f>
        <v>12540</v>
      </c>
      <c r="C7" s="217"/>
      <c r="D7" s="218"/>
      <c r="E7" s="211">
        <f>SUM(B7:D7)</f>
        <v>12540</v>
      </c>
      <c r="F7" s="205"/>
      <c r="G7" s="219"/>
      <c r="H7" s="219"/>
      <c r="I7" s="213">
        <f t="shared" ref="I7:I17" si="0">SUM(F7:H7)</f>
        <v>0</v>
      </c>
      <c r="J7" s="219"/>
      <c r="K7" s="214"/>
      <c r="L7" s="214"/>
      <c r="M7" s="213">
        <f t="shared" ref="M7:M16" si="1">SUM(J7:L7)</f>
        <v>0</v>
      </c>
      <c r="N7" s="214"/>
      <c r="O7" s="214"/>
      <c r="P7" s="214"/>
      <c r="Q7" s="214">
        <f t="shared" ref="Q7:Q16" si="2">SUM(N7:P7)</f>
        <v>0</v>
      </c>
      <c r="R7" s="215">
        <f t="shared" ref="R7:R16" si="3">E7</f>
        <v>12540</v>
      </c>
      <c r="S7" s="215">
        <f t="shared" ref="S7:S16" si="4">E7+I7</f>
        <v>12540</v>
      </c>
      <c r="T7" s="215">
        <f t="shared" ref="T7:T16" si="5">E7+I7+M7</f>
        <v>12540</v>
      </c>
      <c r="U7" s="215">
        <f t="shared" ref="U7:U16" si="6">E7+I7+M7+Q7</f>
        <v>12540</v>
      </c>
      <c r="V7" s="216">
        <v>300000</v>
      </c>
    </row>
    <row r="8" spans="1:22" ht="21">
      <c r="A8" s="209" t="s">
        <v>42</v>
      </c>
      <c r="B8" s="210">
        <f>5000+35340.25</f>
        <v>40340.25</v>
      </c>
      <c r="C8" s="217"/>
      <c r="D8" s="219"/>
      <c r="E8" s="211">
        <f t="shared" ref="E8:E17" si="7">SUM(B8:D8)</f>
        <v>40340.25</v>
      </c>
      <c r="F8" s="205"/>
      <c r="G8" s="219"/>
      <c r="H8" s="219"/>
      <c r="I8" s="213">
        <f t="shared" si="0"/>
        <v>0</v>
      </c>
      <c r="J8" s="219"/>
      <c r="K8" s="214"/>
      <c r="L8" s="214"/>
      <c r="M8" s="213">
        <f t="shared" si="1"/>
        <v>0</v>
      </c>
      <c r="N8" s="214"/>
      <c r="O8" s="214"/>
      <c r="P8" s="214"/>
      <c r="Q8" s="214">
        <f t="shared" si="2"/>
        <v>0</v>
      </c>
      <c r="R8" s="215">
        <f t="shared" si="3"/>
        <v>40340.25</v>
      </c>
      <c r="S8" s="215">
        <f t="shared" si="4"/>
        <v>40340.25</v>
      </c>
      <c r="T8" s="215">
        <f t="shared" si="5"/>
        <v>40340.25</v>
      </c>
      <c r="U8" s="215">
        <f t="shared" si="6"/>
        <v>40340.25</v>
      </c>
      <c r="V8" s="216">
        <v>4000000</v>
      </c>
    </row>
    <row r="9" spans="1:22" ht="21">
      <c r="A9" s="209" t="s">
        <v>154</v>
      </c>
      <c r="B9" s="210"/>
      <c r="C9" s="217"/>
      <c r="D9" s="219"/>
      <c r="E9" s="211">
        <f t="shared" si="7"/>
        <v>0</v>
      </c>
      <c r="F9" s="205"/>
      <c r="G9" s="219"/>
      <c r="H9" s="219"/>
      <c r="I9" s="213">
        <f t="shared" si="0"/>
        <v>0</v>
      </c>
      <c r="J9" s="219"/>
      <c r="K9" s="214"/>
      <c r="L9" s="214"/>
      <c r="M9" s="213">
        <f t="shared" si="1"/>
        <v>0</v>
      </c>
      <c r="N9" s="214"/>
      <c r="O9" s="214"/>
      <c r="P9" s="214"/>
      <c r="Q9" s="214">
        <f t="shared" si="2"/>
        <v>0</v>
      </c>
      <c r="R9" s="215">
        <f t="shared" si="3"/>
        <v>0</v>
      </c>
      <c r="S9" s="215">
        <f t="shared" si="4"/>
        <v>0</v>
      </c>
      <c r="T9" s="215">
        <f t="shared" si="5"/>
        <v>0</v>
      </c>
      <c r="U9" s="215">
        <f t="shared" si="6"/>
        <v>0</v>
      </c>
      <c r="V9" s="216">
        <v>0</v>
      </c>
    </row>
    <row r="10" spans="1:22" s="9" customFormat="1" ht="21">
      <c r="A10" s="209" t="s">
        <v>110</v>
      </c>
      <c r="B10" s="217"/>
      <c r="C10" s="217"/>
      <c r="D10" s="219"/>
      <c r="E10" s="211">
        <f t="shared" si="7"/>
        <v>0</v>
      </c>
      <c r="F10" s="206"/>
      <c r="G10" s="219"/>
      <c r="H10" s="219"/>
      <c r="I10" s="213">
        <f t="shared" si="0"/>
        <v>0</v>
      </c>
      <c r="J10" s="219"/>
      <c r="K10" s="214"/>
      <c r="L10" s="214"/>
      <c r="M10" s="213">
        <f>SUM(J10:L10)</f>
        <v>0</v>
      </c>
      <c r="N10" s="214"/>
      <c r="O10" s="214"/>
      <c r="P10" s="214"/>
      <c r="Q10" s="214">
        <f t="shared" si="2"/>
        <v>0</v>
      </c>
      <c r="R10" s="215">
        <f t="shared" si="3"/>
        <v>0</v>
      </c>
      <c r="S10" s="215">
        <f t="shared" si="4"/>
        <v>0</v>
      </c>
      <c r="T10" s="215">
        <f t="shared" si="5"/>
        <v>0</v>
      </c>
      <c r="U10" s="215">
        <f t="shared" si="6"/>
        <v>0</v>
      </c>
      <c r="V10" s="220">
        <v>0</v>
      </c>
    </row>
    <row r="11" spans="1:22" ht="21">
      <c r="A11" s="209" t="s">
        <v>129</v>
      </c>
      <c r="B11" s="210"/>
      <c r="C11" s="217"/>
      <c r="D11" s="219"/>
      <c r="E11" s="211">
        <f t="shared" si="7"/>
        <v>0</v>
      </c>
      <c r="F11" s="205"/>
      <c r="G11" s="219"/>
      <c r="H11" s="219"/>
      <c r="I11" s="213">
        <f t="shared" si="0"/>
        <v>0</v>
      </c>
      <c r="J11" s="219"/>
      <c r="K11" s="214"/>
      <c r="L11" s="214"/>
      <c r="M11" s="213">
        <f t="shared" si="1"/>
        <v>0</v>
      </c>
      <c r="N11" s="214"/>
      <c r="O11" s="214"/>
      <c r="P11" s="214"/>
      <c r="Q11" s="214">
        <f t="shared" si="2"/>
        <v>0</v>
      </c>
      <c r="R11" s="215">
        <f t="shared" si="3"/>
        <v>0</v>
      </c>
      <c r="S11" s="215">
        <f t="shared" si="4"/>
        <v>0</v>
      </c>
      <c r="T11" s="215">
        <f t="shared" si="5"/>
        <v>0</v>
      </c>
      <c r="U11" s="215">
        <f t="shared" si="6"/>
        <v>0</v>
      </c>
      <c r="V11" s="216">
        <v>0</v>
      </c>
    </row>
    <row r="12" spans="1:22" ht="21">
      <c r="A12" s="209" t="s">
        <v>128</v>
      </c>
      <c r="B12" s="210"/>
      <c r="C12" s="217"/>
      <c r="D12" s="219"/>
      <c r="E12" s="211">
        <f t="shared" si="7"/>
        <v>0</v>
      </c>
      <c r="F12" s="205"/>
      <c r="G12" s="219"/>
      <c r="H12" s="219"/>
      <c r="I12" s="213">
        <f t="shared" si="0"/>
        <v>0</v>
      </c>
      <c r="J12" s="219"/>
      <c r="K12" s="214"/>
      <c r="L12" s="214"/>
      <c r="M12" s="213">
        <f t="shared" si="1"/>
        <v>0</v>
      </c>
      <c r="N12" s="214"/>
      <c r="O12" s="214"/>
      <c r="P12" s="214"/>
      <c r="Q12" s="214">
        <f>SUM(N12:P12)</f>
        <v>0</v>
      </c>
      <c r="R12" s="215">
        <f>E12</f>
        <v>0</v>
      </c>
      <c r="S12" s="215">
        <f>E12+I12</f>
        <v>0</v>
      </c>
      <c r="T12" s="215">
        <f>E12+I12+M12</f>
        <v>0</v>
      </c>
      <c r="U12" s="215">
        <f>E12+I12+M12+Q12</f>
        <v>0</v>
      </c>
      <c r="V12" s="216">
        <v>0</v>
      </c>
    </row>
    <row r="13" spans="1:22" ht="21">
      <c r="A13" s="209" t="s">
        <v>70</v>
      </c>
      <c r="B13" s="217"/>
      <c r="C13" s="217"/>
      <c r="D13" s="219"/>
      <c r="E13" s="211">
        <f t="shared" si="7"/>
        <v>0</v>
      </c>
      <c r="F13" s="205"/>
      <c r="G13" s="219"/>
      <c r="H13" s="219"/>
      <c r="I13" s="213">
        <f t="shared" si="0"/>
        <v>0</v>
      </c>
      <c r="J13" s="219"/>
      <c r="K13" s="214"/>
      <c r="L13" s="214"/>
      <c r="M13" s="213">
        <f t="shared" si="1"/>
        <v>0</v>
      </c>
      <c r="N13" s="214"/>
      <c r="O13" s="214"/>
      <c r="P13" s="214"/>
      <c r="Q13" s="214">
        <f t="shared" si="2"/>
        <v>0</v>
      </c>
      <c r="R13" s="215">
        <f t="shared" si="3"/>
        <v>0</v>
      </c>
      <c r="S13" s="215">
        <f t="shared" si="4"/>
        <v>0</v>
      </c>
      <c r="T13" s="215">
        <f t="shared" si="5"/>
        <v>0</v>
      </c>
      <c r="U13" s="215">
        <f t="shared" si="6"/>
        <v>0</v>
      </c>
      <c r="V13" s="216">
        <v>0</v>
      </c>
    </row>
    <row r="14" spans="1:22" ht="21">
      <c r="A14" s="209" t="s">
        <v>8</v>
      </c>
      <c r="B14" s="210">
        <f>24180+20680+300+21180+33940</f>
        <v>100280</v>
      </c>
      <c r="C14" s="217"/>
      <c r="D14" s="219"/>
      <c r="E14" s="211">
        <f t="shared" si="7"/>
        <v>100280</v>
      </c>
      <c r="F14" s="205"/>
      <c r="G14" s="219"/>
      <c r="H14" s="219"/>
      <c r="I14" s="213">
        <f t="shared" si="0"/>
        <v>0</v>
      </c>
      <c r="J14" s="219"/>
      <c r="K14" s="214"/>
      <c r="L14" s="214"/>
      <c r="M14" s="213">
        <f t="shared" si="1"/>
        <v>0</v>
      </c>
      <c r="N14" s="214"/>
      <c r="O14" s="214"/>
      <c r="P14" s="214"/>
      <c r="Q14" s="214">
        <f>SUM(N14:P14)</f>
        <v>0</v>
      </c>
      <c r="R14" s="215">
        <f>E14</f>
        <v>100280</v>
      </c>
      <c r="S14" s="215">
        <f>E14+I14</f>
        <v>100280</v>
      </c>
      <c r="T14" s="215">
        <f>E14+I14+M14</f>
        <v>100280</v>
      </c>
      <c r="U14" s="215">
        <f>E14+I14+M14+Q14</f>
        <v>100280</v>
      </c>
      <c r="V14" s="216">
        <v>1000000</v>
      </c>
    </row>
    <row r="15" spans="1:22" ht="21">
      <c r="A15" s="209" t="s">
        <v>38</v>
      </c>
      <c r="B15" s="210">
        <f>4440+3510+3670+4110</f>
        <v>15730</v>
      </c>
      <c r="C15" s="217"/>
      <c r="D15" s="219"/>
      <c r="E15" s="211">
        <f t="shared" si="7"/>
        <v>15730</v>
      </c>
      <c r="F15" s="205"/>
      <c r="G15" s="219"/>
      <c r="H15" s="219"/>
      <c r="I15" s="213">
        <f t="shared" si="0"/>
        <v>0</v>
      </c>
      <c r="J15" s="219"/>
      <c r="K15" s="214"/>
      <c r="L15" s="214"/>
      <c r="M15" s="213">
        <f>SUM(J15:L15)</f>
        <v>0</v>
      </c>
      <c r="N15" s="214"/>
      <c r="O15" s="214"/>
      <c r="P15" s="214"/>
      <c r="Q15" s="214">
        <f>SUM(N15:P15)</f>
        <v>0</v>
      </c>
      <c r="R15" s="215">
        <f>E15</f>
        <v>15730</v>
      </c>
      <c r="S15" s="215">
        <f>E15+I15</f>
        <v>15730</v>
      </c>
      <c r="T15" s="215">
        <f>E15+I15+M15</f>
        <v>15730</v>
      </c>
      <c r="U15" s="215">
        <f>E15+I15+M15+Q15</f>
        <v>15730</v>
      </c>
      <c r="V15" s="216">
        <v>120000</v>
      </c>
    </row>
    <row r="16" spans="1:22" ht="21">
      <c r="A16" s="209" t="s">
        <v>9</v>
      </c>
      <c r="B16" s="210">
        <f>28925+12260+116760</f>
        <v>157945</v>
      </c>
      <c r="C16" s="217"/>
      <c r="D16" s="219"/>
      <c r="E16" s="211">
        <f t="shared" si="7"/>
        <v>157945</v>
      </c>
      <c r="F16" s="205"/>
      <c r="G16" s="219"/>
      <c r="H16" s="219"/>
      <c r="I16" s="213">
        <f t="shared" si="0"/>
        <v>0</v>
      </c>
      <c r="J16" s="219"/>
      <c r="K16" s="214"/>
      <c r="L16" s="214"/>
      <c r="M16" s="213">
        <f t="shared" si="1"/>
        <v>0</v>
      </c>
      <c r="N16" s="214"/>
      <c r="O16" s="214"/>
      <c r="P16" s="214"/>
      <c r="Q16" s="214">
        <f t="shared" si="2"/>
        <v>0</v>
      </c>
      <c r="R16" s="215">
        <f t="shared" si="3"/>
        <v>157945</v>
      </c>
      <c r="S16" s="215">
        <f t="shared" si="4"/>
        <v>157945</v>
      </c>
      <c r="T16" s="215">
        <f t="shared" si="5"/>
        <v>157945</v>
      </c>
      <c r="U16" s="215">
        <f t="shared" si="6"/>
        <v>157945</v>
      </c>
      <c r="V16" s="216">
        <v>700000</v>
      </c>
    </row>
    <row r="17" spans="1:22" ht="21">
      <c r="A17" s="209" t="s">
        <v>7</v>
      </c>
      <c r="B17" s="210">
        <f>38340+16800+132547+17500+69850+234742+5600+7000+3000+2470+12000+20000+6000+18000+33000+5100+2500+25000+6000+38000+9000+25000+23500</f>
        <v>750949</v>
      </c>
      <c r="C17" s="217"/>
      <c r="D17" s="219"/>
      <c r="E17" s="211">
        <f t="shared" si="7"/>
        <v>750949</v>
      </c>
      <c r="F17" s="205"/>
      <c r="G17" s="219"/>
      <c r="H17" s="219"/>
      <c r="I17" s="213">
        <f t="shared" si="0"/>
        <v>0</v>
      </c>
      <c r="J17" s="219"/>
      <c r="K17" s="214"/>
      <c r="L17" s="214"/>
      <c r="M17" s="213">
        <f>SUM(J17:L17)</f>
        <v>0</v>
      </c>
      <c r="N17" s="214"/>
      <c r="O17" s="214"/>
      <c r="P17" s="214"/>
      <c r="Q17" s="214">
        <f>SUM(N17:P17)</f>
        <v>0</v>
      </c>
      <c r="R17" s="215">
        <f>E17</f>
        <v>750949</v>
      </c>
      <c r="S17" s="215">
        <f>E17+I17</f>
        <v>750949</v>
      </c>
      <c r="T17" s="215">
        <f>E17+I17+M17</f>
        <v>750949</v>
      </c>
      <c r="U17" s="215">
        <f>E17+I17+M17+Q17</f>
        <v>750949</v>
      </c>
      <c r="V17" s="216">
        <v>7500000</v>
      </c>
    </row>
    <row r="18" spans="1:22" ht="21">
      <c r="A18" s="221" t="s">
        <v>112</v>
      </c>
      <c r="B18" s="222">
        <f>SUM(B6:B17)</f>
        <v>1077829.22</v>
      </c>
      <c r="C18" s="222">
        <f t="shared" ref="C18:U18" si="8">SUM(C6:C17)</f>
        <v>0</v>
      </c>
      <c r="D18" s="222">
        <f>SUM(D6:D17)</f>
        <v>0</v>
      </c>
      <c r="E18" s="222">
        <f t="shared" si="8"/>
        <v>1077829.22</v>
      </c>
      <c r="F18" s="222">
        <f>SUM(F6:F17)</f>
        <v>0</v>
      </c>
      <c r="G18" s="222">
        <f t="shared" si="8"/>
        <v>0</v>
      </c>
      <c r="H18" s="222">
        <f t="shared" si="8"/>
        <v>0</v>
      </c>
      <c r="I18" s="222">
        <f t="shared" si="8"/>
        <v>0</v>
      </c>
      <c r="J18" s="348">
        <f t="shared" si="8"/>
        <v>0</v>
      </c>
      <c r="K18" s="222">
        <f t="shared" si="8"/>
        <v>0</v>
      </c>
      <c r="L18" s="222">
        <f>SUM(L6:L17)</f>
        <v>0</v>
      </c>
      <c r="M18" s="222">
        <f t="shared" si="8"/>
        <v>0</v>
      </c>
      <c r="N18" s="222">
        <f t="shared" si="8"/>
        <v>0</v>
      </c>
      <c r="O18" s="222">
        <f t="shared" si="8"/>
        <v>0</v>
      </c>
      <c r="P18" s="222">
        <f t="shared" si="8"/>
        <v>0</v>
      </c>
      <c r="Q18" s="222">
        <f t="shared" si="8"/>
        <v>0</v>
      </c>
      <c r="R18" s="223">
        <f>SUM(R6:R17)</f>
        <v>1077829.22</v>
      </c>
      <c r="S18" s="223">
        <f>SUM(S6:S17)</f>
        <v>1077829.22</v>
      </c>
      <c r="T18" s="223">
        <f>SUM(T6:T17)</f>
        <v>1077829.22</v>
      </c>
      <c r="U18" s="223">
        <f t="shared" si="8"/>
        <v>1077829.22</v>
      </c>
      <c r="V18" s="316">
        <f>SUM(V6:V17)</f>
        <v>13622500</v>
      </c>
    </row>
    <row r="19" spans="1:22" ht="21">
      <c r="A19" s="224" t="s">
        <v>75</v>
      </c>
      <c r="B19" s="225">
        <f>570400.58-23564.84-54417-195388.8-17000-123373.04</f>
        <v>156656.90000000002</v>
      </c>
      <c r="C19" s="226">
        <f>B97+B98+B99</f>
        <v>856640.84</v>
      </c>
      <c r="D19" s="226">
        <f>C97+C98+C99</f>
        <v>0</v>
      </c>
      <c r="E19" s="227">
        <f>B19</f>
        <v>156656.90000000002</v>
      </c>
      <c r="F19" s="228">
        <f>D97+D98+D99</f>
        <v>0</v>
      </c>
      <c r="G19" s="228">
        <f>F97+F98+F99</f>
        <v>0</v>
      </c>
      <c r="H19" s="228">
        <f>G97+G98+G99</f>
        <v>0</v>
      </c>
      <c r="I19" s="228">
        <f>F19</f>
        <v>0</v>
      </c>
      <c r="J19" s="228">
        <f>I97+I98+I99</f>
        <v>0</v>
      </c>
      <c r="K19" s="228">
        <f>J97+J98+J99</f>
        <v>0</v>
      </c>
      <c r="L19" s="228">
        <f>K97+K98+K99</f>
        <v>0</v>
      </c>
      <c r="M19" s="229">
        <f>J19</f>
        <v>0</v>
      </c>
      <c r="N19" s="228">
        <f>M97+M98+M99</f>
        <v>0</v>
      </c>
      <c r="O19" s="228">
        <f>N97+N98+N99</f>
        <v>0</v>
      </c>
      <c r="P19" s="228">
        <f>O97+O98+O99</f>
        <v>0</v>
      </c>
      <c r="Q19" s="229">
        <f>N19</f>
        <v>0</v>
      </c>
      <c r="R19" s="230">
        <f>$B$19</f>
        <v>156656.90000000002</v>
      </c>
      <c r="S19" s="230">
        <f>$B$19</f>
        <v>156656.90000000002</v>
      </c>
      <c r="T19" s="230">
        <f>$B$19</f>
        <v>156656.90000000002</v>
      </c>
      <c r="U19" s="230">
        <f>$B$19</f>
        <v>156656.90000000002</v>
      </c>
      <c r="V19" s="315">
        <f>T19</f>
        <v>156656.90000000002</v>
      </c>
    </row>
    <row r="20" spans="1:22" ht="21">
      <c r="A20" s="209" t="s">
        <v>72</v>
      </c>
      <c r="B20" s="203">
        <f>22788.36+17000</f>
        <v>39788.36</v>
      </c>
      <c r="C20" s="226">
        <f>B100</f>
        <v>52328.33</v>
      </c>
      <c r="D20" s="226">
        <f>C100</f>
        <v>0</v>
      </c>
      <c r="E20" s="231">
        <f>B20</f>
        <v>39788.36</v>
      </c>
      <c r="F20" s="228">
        <f>D100</f>
        <v>0</v>
      </c>
      <c r="G20" s="228">
        <f>F100</f>
        <v>0</v>
      </c>
      <c r="H20" s="228">
        <f>G100</f>
        <v>0</v>
      </c>
      <c r="I20" s="228">
        <f>F20</f>
        <v>0</v>
      </c>
      <c r="J20" s="228">
        <f>I100</f>
        <v>0</v>
      </c>
      <c r="K20" s="228">
        <f>J100</f>
        <v>0</v>
      </c>
      <c r="L20" s="228">
        <f>K100</f>
        <v>0</v>
      </c>
      <c r="M20" s="229">
        <f>J20</f>
        <v>0</v>
      </c>
      <c r="N20" s="228">
        <f>M100</f>
        <v>0</v>
      </c>
      <c r="O20" s="228">
        <f>N100</f>
        <v>0</v>
      </c>
      <c r="P20" s="228">
        <f>O100</f>
        <v>0</v>
      </c>
      <c r="Q20" s="229">
        <f>N20</f>
        <v>0</v>
      </c>
      <c r="R20" s="230">
        <f>$B$20</f>
        <v>39788.36</v>
      </c>
      <c r="S20" s="230">
        <f>$B$20</f>
        <v>39788.36</v>
      </c>
      <c r="T20" s="230">
        <f>$B$20</f>
        <v>39788.36</v>
      </c>
      <c r="U20" s="230">
        <f>$B$20</f>
        <v>39788.36</v>
      </c>
      <c r="V20" s="315">
        <f>T20</f>
        <v>39788.36</v>
      </c>
    </row>
    <row r="21" spans="1:22" ht="21">
      <c r="A21" s="209" t="s">
        <v>73</v>
      </c>
      <c r="B21" s="203">
        <f>633235.5-102000</f>
        <v>531235.5</v>
      </c>
      <c r="C21" s="226">
        <f>B101+B102+B103</f>
        <v>571425.75</v>
      </c>
      <c r="D21" s="226">
        <f>C101+C102+C103</f>
        <v>0</v>
      </c>
      <c r="E21" s="231">
        <f>B21</f>
        <v>531235.5</v>
      </c>
      <c r="F21" s="228">
        <f>D101+D102+D103</f>
        <v>0</v>
      </c>
      <c r="G21" s="228">
        <f>F101+F102+F103</f>
        <v>0</v>
      </c>
      <c r="H21" s="228">
        <f>G101+G102+G103</f>
        <v>0</v>
      </c>
      <c r="I21" s="228">
        <f>E101+E102+E103</f>
        <v>0</v>
      </c>
      <c r="J21" s="228">
        <f>I101+I102+I103</f>
        <v>0</v>
      </c>
      <c r="K21" s="228">
        <f>J101+J102+J103</f>
        <v>0</v>
      </c>
      <c r="L21" s="228">
        <f>K101+K102+K103</f>
        <v>0</v>
      </c>
      <c r="M21" s="229">
        <f>J21</f>
        <v>0</v>
      </c>
      <c r="N21" s="228">
        <f>M101+M102+M103</f>
        <v>0</v>
      </c>
      <c r="O21" s="228">
        <f>N101+N102+N103</f>
        <v>0</v>
      </c>
      <c r="P21" s="228">
        <f>O101+O102+O103</f>
        <v>0</v>
      </c>
      <c r="Q21" s="229">
        <f>N21</f>
        <v>0</v>
      </c>
      <c r="R21" s="230">
        <f>$B$21</f>
        <v>531235.5</v>
      </c>
      <c r="S21" s="230">
        <f>$B$21</f>
        <v>531235.5</v>
      </c>
      <c r="T21" s="230">
        <f>$B$21</f>
        <v>531235.5</v>
      </c>
      <c r="U21" s="230">
        <f>$B$21</f>
        <v>531235.5</v>
      </c>
      <c r="V21" s="315">
        <f>T21</f>
        <v>531235.5</v>
      </c>
    </row>
    <row r="22" spans="1:22" ht="21">
      <c r="A22" s="209" t="s">
        <v>124</v>
      </c>
      <c r="B22" s="203">
        <v>4190</v>
      </c>
      <c r="C22" s="226">
        <f>B104</f>
        <v>190</v>
      </c>
      <c r="D22" s="226">
        <f>C104</f>
        <v>0</v>
      </c>
      <c r="E22" s="231">
        <f>B22</f>
        <v>4190</v>
      </c>
      <c r="F22" s="228">
        <f>D104</f>
        <v>0</v>
      </c>
      <c r="G22" s="228">
        <f>F104</f>
        <v>0</v>
      </c>
      <c r="H22" s="228">
        <f>G104</f>
        <v>0</v>
      </c>
      <c r="I22" s="228">
        <f>E104</f>
        <v>0</v>
      </c>
      <c r="J22" s="228">
        <f>I104</f>
        <v>0</v>
      </c>
      <c r="K22" s="228">
        <f>J104</f>
        <v>0</v>
      </c>
      <c r="L22" s="228">
        <f>K104</f>
        <v>0</v>
      </c>
      <c r="M22" s="229">
        <f>J22</f>
        <v>0</v>
      </c>
      <c r="N22" s="228">
        <f>M104</f>
        <v>0</v>
      </c>
      <c r="O22" s="228">
        <f>N104</f>
        <v>0</v>
      </c>
      <c r="P22" s="228">
        <f>O104</f>
        <v>0</v>
      </c>
      <c r="Q22" s="229">
        <f>N22</f>
        <v>0</v>
      </c>
      <c r="R22" s="230">
        <f>$B$22</f>
        <v>4190</v>
      </c>
      <c r="S22" s="230">
        <f>$B$22</f>
        <v>4190</v>
      </c>
      <c r="T22" s="230">
        <f>$B$22</f>
        <v>4190</v>
      </c>
      <c r="U22" s="230">
        <f>$B$22</f>
        <v>4190</v>
      </c>
      <c r="V22" s="315">
        <f>T22</f>
        <v>4190</v>
      </c>
    </row>
    <row r="23" spans="1:22" ht="21">
      <c r="A23" s="209" t="s">
        <v>161</v>
      </c>
      <c r="B23" s="217">
        <f>SUM(B19:B22)</f>
        <v>731870.76</v>
      </c>
      <c r="C23" s="217">
        <f t="shared" ref="C23:Q23" si="9">SUM(C19:C22)</f>
        <v>1480584.92</v>
      </c>
      <c r="D23" s="217">
        <f t="shared" si="9"/>
        <v>0</v>
      </c>
      <c r="E23" s="211">
        <f t="shared" si="9"/>
        <v>731870.76</v>
      </c>
      <c r="F23" s="211">
        <f t="shared" si="9"/>
        <v>0</v>
      </c>
      <c r="G23" s="211">
        <f t="shared" si="9"/>
        <v>0</v>
      </c>
      <c r="H23" s="211">
        <f t="shared" si="9"/>
        <v>0</v>
      </c>
      <c r="I23" s="211">
        <f>SUM(I19:I22)</f>
        <v>0</v>
      </c>
      <c r="J23" s="346">
        <f t="shared" si="9"/>
        <v>0</v>
      </c>
      <c r="K23" s="211">
        <f t="shared" si="9"/>
        <v>0</v>
      </c>
      <c r="L23" s="211">
        <f>SUM(L19:L22)</f>
        <v>0</v>
      </c>
      <c r="M23" s="213">
        <f t="shared" si="9"/>
        <v>0</v>
      </c>
      <c r="N23" s="213">
        <f>SUM(N19:N22)</f>
        <v>0</v>
      </c>
      <c r="O23" s="214">
        <f t="shared" si="9"/>
        <v>0</v>
      </c>
      <c r="P23" s="214">
        <f t="shared" si="9"/>
        <v>0</v>
      </c>
      <c r="Q23" s="214">
        <f t="shared" si="9"/>
        <v>0</v>
      </c>
      <c r="R23" s="230">
        <f>$B$23</f>
        <v>731870.76</v>
      </c>
      <c r="S23" s="230">
        <f>$B$23</f>
        <v>731870.76</v>
      </c>
      <c r="T23" s="230">
        <f>$B$23</f>
        <v>731870.76</v>
      </c>
      <c r="U23" s="230">
        <f>$B$23</f>
        <v>731870.76</v>
      </c>
      <c r="V23" s="315">
        <f>T23</f>
        <v>731870.76</v>
      </c>
    </row>
    <row r="24" spans="1:22" ht="21">
      <c r="A24" s="232" t="s">
        <v>108</v>
      </c>
      <c r="B24" s="233">
        <f>SUM(B18:B22)</f>
        <v>1809699.9800000002</v>
      </c>
      <c r="C24" s="233">
        <f t="shared" ref="C24:T24" si="10">SUM(C18:C22)</f>
        <v>1480584.92</v>
      </c>
      <c r="D24" s="233">
        <f>SUM(D18:D22)</f>
        <v>0</v>
      </c>
      <c r="E24" s="233">
        <f t="shared" si="10"/>
        <v>1809699.9800000002</v>
      </c>
      <c r="F24" s="233">
        <f>SUM(F18:F22)</f>
        <v>0</v>
      </c>
      <c r="G24" s="233">
        <f t="shared" si="10"/>
        <v>0</v>
      </c>
      <c r="H24" s="233">
        <f t="shared" si="10"/>
        <v>0</v>
      </c>
      <c r="I24" s="233">
        <f t="shared" si="10"/>
        <v>0</v>
      </c>
      <c r="J24" s="347">
        <f t="shared" si="10"/>
        <v>0</v>
      </c>
      <c r="K24" s="233">
        <f t="shared" si="10"/>
        <v>0</v>
      </c>
      <c r="L24" s="233">
        <f>SUM(L18:L22)</f>
        <v>0</v>
      </c>
      <c r="M24" s="233">
        <f t="shared" si="10"/>
        <v>0</v>
      </c>
      <c r="N24" s="233">
        <f t="shared" si="10"/>
        <v>0</v>
      </c>
      <c r="O24" s="233">
        <f t="shared" si="10"/>
        <v>0</v>
      </c>
      <c r="P24" s="233">
        <f t="shared" si="10"/>
        <v>0</v>
      </c>
      <c r="Q24" s="233">
        <f t="shared" si="10"/>
        <v>0</v>
      </c>
      <c r="R24" s="223">
        <f t="shared" si="10"/>
        <v>1809699.9800000002</v>
      </c>
      <c r="S24" s="223">
        <f t="shared" si="10"/>
        <v>1809699.9800000002</v>
      </c>
      <c r="T24" s="223">
        <f t="shared" si="10"/>
        <v>1809699.9800000002</v>
      </c>
      <c r="U24" s="223">
        <f>SUM(U18:U22)</f>
        <v>1809699.9800000002</v>
      </c>
      <c r="V24" s="315">
        <f>V23+V18</f>
        <v>14354370.76</v>
      </c>
    </row>
    <row r="25" spans="1:22" s="9" customFormat="1" ht="21">
      <c r="A25" s="232" t="s">
        <v>88</v>
      </c>
      <c r="B25" s="217"/>
      <c r="C25" s="217"/>
      <c r="D25" s="217"/>
      <c r="E25" s="217"/>
      <c r="F25" s="217"/>
      <c r="G25" s="217"/>
      <c r="H25" s="217"/>
      <c r="I25" s="217"/>
      <c r="J25" s="219"/>
      <c r="K25" s="234"/>
      <c r="L25" s="235"/>
      <c r="M25" s="214"/>
      <c r="N25" s="214"/>
      <c r="O25" s="214"/>
      <c r="P25" s="214"/>
      <c r="Q25" s="214"/>
      <c r="R25" s="215"/>
      <c r="S25" s="215"/>
      <c r="T25" s="215"/>
      <c r="U25" s="236"/>
      <c r="V25" s="220"/>
    </row>
    <row r="26" spans="1:22" ht="21">
      <c r="A26" s="237" t="s">
        <v>76</v>
      </c>
      <c r="B26" s="204">
        <f t="shared" ref="B26:Q26" si="11">SUM(B27:B53)</f>
        <v>90600</v>
      </c>
      <c r="C26" s="204">
        <f t="shared" si="11"/>
        <v>0</v>
      </c>
      <c r="D26" s="204">
        <f t="shared" si="11"/>
        <v>0</v>
      </c>
      <c r="E26" s="204">
        <f t="shared" si="11"/>
        <v>90600</v>
      </c>
      <c r="F26" s="204">
        <f t="shared" si="11"/>
        <v>0</v>
      </c>
      <c r="G26" s="204">
        <f t="shared" si="11"/>
        <v>0</v>
      </c>
      <c r="H26" s="204">
        <f t="shared" si="11"/>
        <v>0</v>
      </c>
      <c r="I26" s="204">
        <f t="shared" si="11"/>
        <v>0</v>
      </c>
      <c r="J26" s="206">
        <f t="shared" si="11"/>
        <v>0</v>
      </c>
      <c r="K26" s="204">
        <f t="shared" si="11"/>
        <v>0</v>
      </c>
      <c r="L26" s="204">
        <f>SUM(L27:L53)</f>
        <v>0</v>
      </c>
      <c r="M26" s="206">
        <f t="shared" si="11"/>
        <v>0</v>
      </c>
      <c r="N26" s="206">
        <f>SUM(N27:N53)</f>
        <v>0</v>
      </c>
      <c r="O26" s="206">
        <f t="shared" si="11"/>
        <v>0</v>
      </c>
      <c r="P26" s="206">
        <f t="shared" si="11"/>
        <v>0</v>
      </c>
      <c r="Q26" s="206">
        <f t="shared" si="11"/>
        <v>0</v>
      </c>
      <c r="R26" s="238">
        <f>SUM(R27:R53)</f>
        <v>90600</v>
      </c>
      <c r="S26" s="238">
        <f>SUM(S27:S53)</f>
        <v>90600</v>
      </c>
      <c r="T26" s="238">
        <f>SUM(T27:T53)</f>
        <v>90600</v>
      </c>
      <c r="U26" s="215">
        <f>SUM(U27:U53)</f>
        <v>90600</v>
      </c>
      <c r="V26" s="220">
        <f>SUM(V27:V52)</f>
        <v>2421300</v>
      </c>
    </row>
    <row r="27" spans="1:22" ht="21">
      <c r="A27" s="239" t="s">
        <v>3</v>
      </c>
      <c r="B27" s="231"/>
      <c r="C27" s="203"/>
      <c r="D27" s="203"/>
      <c r="E27" s="204">
        <f>SUM(B27:D27)</f>
        <v>0</v>
      </c>
      <c r="F27" s="203"/>
      <c r="G27" s="203"/>
      <c r="H27" s="203"/>
      <c r="I27" s="204">
        <f>SUM(F27:H27)</f>
        <v>0</v>
      </c>
      <c r="J27" s="205"/>
      <c r="K27" s="203"/>
      <c r="L27" s="203"/>
      <c r="M27" s="206">
        <f>SUM(J27:L27)</f>
        <v>0</v>
      </c>
      <c r="N27" s="240"/>
      <c r="O27" s="240"/>
      <c r="P27" s="240"/>
      <c r="Q27" s="206">
        <f t="shared" ref="Q27:Q47" si="12">SUM(N27:P27)</f>
        <v>0</v>
      </c>
      <c r="R27" s="215">
        <f t="shared" ref="R27:R67" si="13">E27</f>
        <v>0</v>
      </c>
      <c r="S27" s="215">
        <f t="shared" ref="S27:S67" si="14">E27+I27</f>
        <v>0</v>
      </c>
      <c r="T27" s="215">
        <f t="shared" ref="T27:T67" si="15">E27+I27+M27</f>
        <v>0</v>
      </c>
      <c r="U27" s="215">
        <f t="shared" ref="U27:U67" si="16">E27+I27+M27+Q27</f>
        <v>0</v>
      </c>
      <c r="V27" s="216">
        <v>290000</v>
      </c>
    </row>
    <row r="28" spans="1:22" ht="21">
      <c r="A28" s="239" t="s">
        <v>50</v>
      </c>
      <c r="B28" s="231">
        <f>4000+9000</f>
        <v>13000</v>
      </c>
      <c r="C28" s="203"/>
      <c r="D28" s="203"/>
      <c r="E28" s="204">
        <f t="shared" ref="E28:E47" si="17">SUM(B28:D28)</f>
        <v>13000</v>
      </c>
      <c r="F28" s="203"/>
      <c r="G28" s="203"/>
      <c r="H28" s="203"/>
      <c r="I28" s="204">
        <f t="shared" ref="I28:I47" si="18">SUM(F28:H28)</f>
        <v>0</v>
      </c>
      <c r="J28" s="205"/>
      <c r="K28" s="203"/>
      <c r="L28" s="203"/>
      <c r="M28" s="206">
        <f t="shared" ref="M28:M47" si="19">SUM(J28:L28)</f>
        <v>0</v>
      </c>
      <c r="N28" s="240"/>
      <c r="O28" s="240"/>
      <c r="P28" s="240"/>
      <c r="Q28" s="206">
        <f t="shared" si="12"/>
        <v>0</v>
      </c>
      <c r="R28" s="215">
        <f t="shared" si="13"/>
        <v>13000</v>
      </c>
      <c r="S28" s="215">
        <f t="shared" si="14"/>
        <v>13000</v>
      </c>
      <c r="T28" s="215">
        <f t="shared" si="15"/>
        <v>13000</v>
      </c>
      <c r="U28" s="215">
        <f t="shared" si="16"/>
        <v>13000</v>
      </c>
      <c r="V28" s="216">
        <v>250000</v>
      </c>
    </row>
    <row r="29" spans="1:22" ht="21">
      <c r="A29" s="239" t="s">
        <v>4</v>
      </c>
      <c r="B29" s="231"/>
      <c r="C29" s="203"/>
      <c r="D29" s="203"/>
      <c r="E29" s="204">
        <f t="shared" si="17"/>
        <v>0</v>
      </c>
      <c r="F29" s="203"/>
      <c r="G29" s="203"/>
      <c r="H29" s="203"/>
      <c r="I29" s="204">
        <f t="shared" si="18"/>
        <v>0</v>
      </c>
      <c r="J29" s="205"/>
      <c r="K29" s="203"/>
      <c r="L29" s="203"/>
      <c r="M29" s="206">
        <f t="shared" si="19"/>
        <v>0</v>
      </c>
      <c r="N29" s="240"/>
      <c r="O29" s="240"/>
      <c r="P29" s="240"/>
      <c r="Q29" s="206">
        <f>SUM(N29:P29)</f>
        <v>0</v>
      </c>
      <c r="R29" s="215">
        <f t="shared" si="13"/>
        <v>0</v>
      </c>
      <c r="S29" s="215">
        <f t="shared" si="14"/>
        <v>0</v>
      </c>
      <c r="T29" s="215">
        <f t="shared" si="15"/>
        <v>0</v>
      </c>
      <c r="U29" s="215">
        <f t="shared" si="16"/>
        <v>0</v>
      </c>
      <c r="V29" s="216">
        <v>50000</v>
      </c>
    </row>
    <row r="30" spans="1:22" ht="21">
      <c r="A30" s="239" t="s">
        <v>46</v>
      </c>
      <c r="B30" s="231"/>
      <c r="C30" s="203"/>
      <c r="D30" s="203"/>
      <c r="E30" s="204">
        <f t="shared" si="17"/>
        <v>0</v>
      </c>
      <c r="F30" s="203"/>
      <c r="G30" s="203"/>
      <c r="H30" s="203"/>
      <c r="I30" s="204">
        <f t="shared" si="18"/>
        <v>0</v>
      </c>
      <c r="J30" s="205"/>
      <c r="K30" s="203"/>
      <c r="L30" s="203"/>
      <c r="M30" s="206">
        <f t="shared" si="19"/>
        <v>0</v>
      </c>
      <c r="N30" s="240"/>
      <c r="O30" s="240"/>
      <c r="P30" s="240"/>
      <c r="Q30" s="206">
        <f t="shared" si="12"/>
        <v>0</v>
      </c>
      <c r="R30" s="215">
        <f t="shared" si="13"/>
        <v>0</v>
      </c>
      <c r="S30" s="215">
        <f t="shared" si="14"/>
        <v>0</v>
      </c>
      <c r="T30" s="215">
        <f t="shared" si="15"/>
        <v>0</v>
      </c>
      <c r="U30" s="215">
        <f t="shared" si="16"/>
        <v>0</v>
      </c>
      <c r="V30" s="216">
        <v>13000</v>
      </c>
    </row>
    <row r="31" spans="1:22" ht="21">
      <c r="A31" s="239" t="s">
        <v>56</v>
      </c>
      <c r="B31" s="231"/>
      <c r="C31" s="203"/>
      <c r="D31" s="203"/>
      <c r="E31" s="204">
        <f t="shared" si="17"/>
        <v>0</v>
      </c>
      <c r="F31" s="203"/>
      <c r="G31" s="203"/>
      <c r="H31" s="203"/>
      <c r="I31" s="204">
        <f t="shared" si="18"/>
        <v>0</v>
      </c>
      <c r="J31" s="205"/>
      <c r="K31" s="203"/>
      <c r="L31" s="203"/>
      <c r="M31" s="206">
        <f t="shared" si="19"/>
        <v>0</v>
      </c>
      <c r="N31" s="240"/>
      <c r="O31" s="240"/>
      <c r="P31" s="240"/>
      <c r="Q31" s="206">
        <f t="shared" si="12"/>
        <v>0</v>
      </c>
      <c r="R31" s="215">
        <f t="shared" si="13"/>
        <v>0</v>
      </c>
      <c r="S31" s="215">
        <f t="shared" si="14"/>
        <v>0</v>
      </c>
      <c r="T31" s="215">
        <f t="shared" si="15"/>
        <v>0</v>
      </c>
      <c r="U31" s="215">
        <f t="shared" si="16"/>
        <v>0</v>
      </c>
      <c r="V31" s="216">
        <v>10000</v>
      </c>
    </row>
    <row r="32" spans="1:22" ht="21">
      <c r="A32" s="239" t="s">
        <v>52</v>
      </c>
      <c r="B32" s="231"/>
      <c r="C32" s="203"/>
      <c r="D32" s="203"/>
      <c r="E32" s="204">
        <f t="shared" si="17"/>
        <v>0</v>
      </c>
      <c r="F32" s="203"/>
      <c r="G32" s="203"/>
      <c r="H32" s="203"/>
      <c r="I32" s="204">
        <f t="shared" si="18"/>
        <v>0</v>
      </c>
      <c r="J32" s="205"/>
      <c r="K32" s="203"/>
      <c r="L32" s="203"/>
      <c r="M32" s="206">
        <f t="shared" si="19"/>
        <v>0</v>
      </c>
      <c r="N32" s="240"/>
      <c r="O32" s="240"/>
      <c r="P32" s="240"/>
      <c r="Q32" s="206">
        <f t="shared" si="12"/>
        <v>0</v>
      </c>
      <c r="R32" s="215">
        <f t="shared" si="13"/>
        <v>0</v>
      </c>
      <c r="S32" s="215">
        <f t="shared" si="14"/>
        <v>0</v>
      </c>
      <c r="T32" s="215">
        <f t="shared" si="15"/>
        <v>0</v>
      </c>
      <c r="U32" s="215">
        <f t="shared" si="16"/>
        <v>0</v>
      </c>
      <c r="V32" s="216">
        <v>60000</v>
      </c>
    </row>
    <row r="33" spans="1:22" ht="21">
      <c r="A33" s="239" t="s">
        <v>145</v>
      </c>
      <c r="B33" s="231"/>
      <c r="C33" s="203"/>
      <c r="D33" s="203"/>
      <c r="E33" s="204">
        <f t="shared" si="17"/>
        <v>0</v>
      </c>
      <c r="F33" s="203"/>
      <c r="G33" s="203"/>
      <c r="H33" s="203"/>
      <c r="I33" s="204">
        <f t="shared" si="18"/>
        <v>0</v>
      </c>
      <c r="J33" s="205"/>
      <c r="K33" s="203"/>
      <c r="L33" s="203"/>
      <c r="M33" s="206">
        <f t="shared" si="19"/>
        <v>0</v>
      </c>
      <c r="N33" s="240"/>
      <c r="O33" s="240"/>
      <c r="P33" s="240"/>
      <c r="Q33" s="206">
        <f t="shared" si="12"/>
        <v>0</v>
      </c>
      <c r="R33" s="215">
        <f t="shared" si="13"/>
        <v>0</v>
      </c>
      <c r="S33" s="215">
        <f t="shared" si="14"/>
        <v>0</v>
      </c>
      <c r="T33" s="215">
        <f t="shared" si="15"/>
        <v>0</v>
      </c>
      <c r="U33" s="215">
        <f t="shared" si="16"/>
        <v>0</v>
      </c>
      <c r="V33" s="216">
        <v>130000</v>
      </c>
    </row>
    <row r="34" spans="1:22" ht="21">
      <c r="A34" s="239" t="s">
        <v>77</v>
      </c>
      <c r="B34" s="231"/>
      <c r="C34" s="203"/>
      <c r="D34" s="203"/>
      <c r="E34" s="204">
        <f t="shared" si="17"/>
        <v>0</v>
      </c>
      <c r="F34" s="203"/>
      <c r="G34" s="203"/>
      <c r="H34" s="203"/>
      <c r="I34" s="204">
        <f t="shared" si="18"/>
        <v>0</v>
      </c>
      <c r="J34" s="205"/>
      <c r="K34" s="203"/>
      <c r="L34" s="203"/>
      <c r="M34" s="206">
        <f t="shared" si="19"/>
        <v>0</v>
      </c>
      <c r="N34" s="240"/>
      <c r="O34" s="240"/>
      <c r="P34" s="240"/>
      <c r="Q34" s="206">
        <f t="shared" si="12"/>
        <v>0</v>
      </c>
      <c r="R34" s="215">
        <f t="shared" si="13"/>
        <v>0</v>
      </c>
      <c r="S34" s="215">
        <f t="shared" si="14"/>
        <v>0</v>
      </c>
      <c r="T34" s="215">
        <f t="shared" si="15"/>
        <v>0</v>
      </c>
      <c r="U34" s="215">
        <f t="shared" si="16"/>
        <v>0</v>
      </c>
      <c r="V34" s="216">
        <v>40000</v>
      </c>
    </row>
    <row r="35" spans="1:22" ht="21">
      <c r="A35" s="239" t="s">
        <v>135</v>
      </c>
      <c r="B35" s="231"/>
      <c r="C35" s="203"/>
      <c r="D35" s="203"/>
      <c r="E35" s="204">
        <f t="shared" si="17"/>
        <v>0</v>
      </c>
      <c r="F35" s="203"/>
      <c r="G35" s="203"/>
      <c r="H35" s="203"/>
      <c r="I35" s="204">
        <f t="shared" si="18"/>
        <v>0</v>
      </c>
      <c r="J35" s="205"/>
      <c r="K35" s="203"/>
      <c r="L35" s="203"/>
      <c r="M35" s="206">
        <f t="shared" si="19"/>
        <v>0</v>
      </c>
      <c r="N35" s="240"/>
      <c r="O35" s="240"/>
      <c r="P35" s="240"/>
      <c r="Q35" s="206">
        <f t="shared" si="12"/>
        <v>0</v>
      </c>
      <c r="R35" s="215">
        <f t="shared" si="13"/>
        <v>0</v>
      </c>
      <c r="S35" s="215">
        <f t="shared" si="14"/>
        <v>0</v>
      </c>
      <c r="T35" s="215">
        <f t="shared" si="15"/>
        <v>0</v>
      </c>
      <c r="U35" s="215">
        <f t="shared" si="16"/>
        <v>0</v>
      </c>
      <c r="V35" s="216">
        <v>100000</v>
      </c>
    </row>
    <row r="36" spans="1:22" ht="21">
      <c r="A36" s="239" t="s">
        <v>137</v>
      </c>
      <c r="B36" s="231">
        <f>20000+2000</f>
        <v>22000</v>
      </c>
      <c r="C36" s="203"/>
      <c r="D36" s="203"/>
      <c r="E36" s="204">
        <f>SUM(B36:D36)</f>
        <v>22000</v>
      </c>
      <c r="F36" s="203"/>
      <c r="G36" s="203"/>
      <c r="H36" s="203"/>
      <c r="I36" s="204">
        <f>SUM(F36:H36)</f>
        <v>0</v>
      </c>
      <c r="J36" s="205"/>
      <c r="K36" s="203"/>
      <c r="L36" s="203"/>
      <c r="M36" s="206">
        <f>SUM(J36:L36)</f>
        <v>0</v>
      </c>
      <c r="N36" s="240"/>
      <c r="O36" s="240"/>
      <c r="P36" s="240"/>
      <c r="Q36" s="206">
        <f>SUM(N36:P36)</f>
        <v>0</v>
      </c>
      <c r="R36" s="215">
        <f>E36</f>
        <v>22000</v>
      </c>
      <c r="S36" s="215">
        <f>E36+I36</f>
        <v>22000</v>
      </c>
      <c r="T36" s="215">
        <f>E36+I36+M36</f>
        <v>22000</v>
      </c>
      <c r="U36" s="215">
        <f>E36+I36+M36+Q36</f>
        <v>22000</v>
      </c>
      <c r="V36" s="216">
        <v>70000</v>
      </c>
    </row>
    <row r="37" spans="1:22" ht="21">
      <c r="A37" s="239" t="s">
        <v>54</v>
      </c>
      <c r="B37" s="231"/>
      <c r="C37" s="203"/>
      <c r="D37" s="203"/>
      <c r="E37" s="204">
        <f>SUM(B37:D37)</f>
        <v>0</v>
      </c>
      <c r="F37" s="203"/>
      <c r="G37" s="203"/>
      <c r="H37" s="203"/>
      <c r="I37" s="204">
        <f>SUM(F37:H37)</f>
        <v>0</v>
      </c>
      <c r="J37" s="205"/>
      <c r="K37" s="203"/>
      <c r="L37" s="203"/>
      <c r="M37" s="206">
        <f>SUM(J37:L37)</f>
        <v>0</v>
      </c>
      <c r="N37" s="240"/>
      <c r="O37" s="240"/>
      <c r="P37" s="240"/>
      <c r="Q37" s="206">
        <f>SUM(N37:P37)</f>
        <v>0</v>
      </c>
      <c r="R37" s="215">
        <f>E37</f>
        <v>0</v>
      </c>
      <c r="S37" s="215">
        <f>E37+I37</f>
        <v>0</v>
      </c>
      <c r="T37" s="215">
        <f>E37+I37+M37</f>
        <v>0</v>
      </c>
      <c r="U37" s="215">
        <f>E37+I37+M37+Q37</f>
        <v>0</v>
      </c>
      <c r="V37" s="216">
        <v>38000</v>
      </c>
    </row>
    <row r="38" spans="1:22" ht="21">
      <c r="A38" s="239" t="s">
        <v>49</v>
      </c>
      <c r="B38" s="231">
        <f>5500+4500</f>
        <v>10000</v>
      </c>
      <c r="C38" s="203"/>
      <c r="D38" s="203"/>
      <c r="E38" s="204">
        <f t="shared" si="17"/>
        <v>10000</v>
      </c>
      <c r="F38" s="203"/>
      <c r="G38" s="203"/>
      <c r="H38" s="203"/>
      <c r="I38" s="204">
        <f t="shared" si="18"/>
        <v>0</v>
      </c>
      <c r="J38" s="205"/>
      <c r="K38" s="203"/>
      <c r="L38" s="203"/>
      <c r="M38" s="206">
        <f t="shared" si="19"/>
        <v>0</v>
      </c>
      <c r="N38" s="240"/>
      <c r="O38" s="240"/>
      <c r="P38" s="240"/>
      <c r="Q38" s="206">
        <f t="shared" si="12"/>
        <v>0</v>
      </c>
      <c r="R38" s="215">
        <f t="shared" si="13"/>
        <v>10000</v>
      </c>
      <c r="S38" s="215">
        <f t="shared" si="14"/>
        <v>10000</v>
      </c>
      <c r="T38" s="215">
        <f t="shared" si="15"/>
        <v>10000</v>
      </c>
      <c r="U38" s="215">
        <f t="shared" si="16"/>
        <v>10000</v>
      </c>
      <c r="V38" s="216">
        <v>237300</v>
      </c>
    </row>
    <row r="39" spans="1:22" ht="21">
      <c r="A39" s="239" t="s">
        <v>45</v>
      </c>
      <c r="B39" s="231">
        <f>7800+14700+12500</f>
        <v>35000</v>
      </c>
      <c r="C39" s="203"/>
      <c r="D39" s="203"/>
      <c r="E39" s="204">
        <f t="shared" si="17"/>
        <v>35000</v>
      </c>
      <c r="F39" s="203"/>
      <c r="G39" s="203"/>
      <c r="H39" s="203"/>
      <c r="I39" s="204">
        <f t="shared" si="18"/>
        <v>0</v>
      </c>
      <c r="J39" s="205"/>
      <c r="K39" s="203"/>
      <c r="L39" s="203"/>
      <c r="M39" s="206">
        <f t="shared" si="19"/>
        <v>0</v>
      </c>
      <c r="N39" s="240"/>
      <c r="O39" s="240"/>
      <c r="P39" s="240"/>
      <c r="Q39" s="206">
        <f t="shared" si="12"/>
        <v>0</v>
      </c>
      <c r="R39" s="215">
        <f t="shared" si="13"/>
        <v>35000</v>
      </c>
      <c r="S39" s="215">
        <f t="shared" si="14"/>
        <v>35000</v>
      </c>
      <c r="T39" s="215">
        <f t="shared" si="15"/>
        <v>35000</v>
      </c>
      <c r="U39" s="215">
        <f t="shared" si="16"/>
        <v>35000</v>
      </c>
      <c r="V39" s="216">
        <v>200000</v>
      </c>
    </row>
    <row r="40" spans="1:22" ht="21">
      <c r="A40" s="239" t="s">
        <v>89</v>
      </c>
      <c r="B40" s="231"/>
      <c r="C40" s="203"/>
      <c r="D40" s="203"/>
      <c r="E40" s="204">
        <f t="shared" si="17"/>
        <v>0</v>
      </c>
      <c r="F40" s="203"/>
      <c r="G40" s="203"/>
      <c r="H40" s="203"/>
      <c r="I40" s="204">
        <f t="shared" si="18"/>
        <v>0</v>
      </c>
      <c r="J40" s="205"/>
      <c r="K40" s="203"/>
      <c r="L40" s="203"/>
      <c r="M40" s="206">
        <f t="shared" si="19"/>
        <v>0</v>
      </c>
      <c r="N40" s="240"/>
      <c r="O40" s="240"/>
      <c r="P40" s="240"/>
      <c r="Q40" s="206">
        <f t="shared" si="12"/>
        <v>0</v>
      </c>
      <c r="R40" s="215">
        <f t="shared" si="13"/>
        <v>0</v>
      </c>
      <c r="S40" s="215">
        <f t="shared" si="14"/>
        <v>0</v>
      </c>
      <c r="T40" s="215">
        <f t="shared" si="15"/>
        <v>0</v>
      </c>
      <c r="U40" s="215">
        <f t="shared" si="16"/>
        <v>0</v>
      </c>
      <c r="V40" s="216">
        <v>100000</v>
      </c>
    </row>
    <row r="41" spans="1:22" ht="21">
      <c r="A41" s="239" t="s">
        <v>55</v>
      </c>
      <c r="B41" s="231"/>
      <c r="C41" s="203"/>
      <c r="D41" s="203"/>
      <c r="E41" s="204">
        <f t="shared" si="17"/>
        <v>0</v>
      </c>
      <c r="F41" s="203"/>
      <c r="G41" s="203"/>
      <c r="H41" s="203"/>
      <c r="I41" s="241">
        <f t="shared" si="18"/>
        <v>0</v>
      </c>
      <c r="J41" s="205"/>
      <c r="K41" s="203"/>
      <c r="L41" s="203"/>
      <c r="M41" s="206">
        <f t="shared" si="19"/>
        <v>0</v>
      </c>
      <c r="N41" s="240"/>
      <c r="O41" s="240"/>
      <c r="P41" s="240"/>
      <c r="Q41" s="206">
        <f t="shared" si="12"/>
        <v>0</v>
      </c>
      <c r="R41" s="215">
        <f t="shared" si="13"/>
        <v>0</v>
      </c>
      <c r="S41" s="215">
        <f t="shared" si="14"/>
        <v>0</v>
      </c>
      <c r="T41" s="215">
        <f t="shared" si="15"/>
        <v>0</v>
      </c>
      <c r="U41" s="215">
        <f t="shared" si="16"/>
        <v>0</v>
      </c>
      <c r="V41" s="216">
        <v>100000</v>
      </c>
    </row>
    <row r="42" spans="1:22" ht="21">
      <c r="A42" s="239" t="s">
        <v>134</v>
      </c>
      <c r="B42" s="231"/>
      <c r="C42" s="203"/>
      <c r="D42" s="203"/>
      <c r="E42" s="204">
        <f t="shared" si="17"/>
        <v>0</v>
      </c>
      <c r="F42" s="203"/>
      <c r="G42" s="203"/>
      <c r="H42" s="203"/>
      <c r="I42" s="204">
        <f t="shared" si="18"/>
        <v>0</v>
      </c>
      <c r="J42" s="205"/>
      <c r="K42" s="203"/>
      <c r="L42" s="203"/>
      <c r="M42" s="206">
        <f t="shared" si="19"/>
        <v>0</v>
      </c>
      <c r="N42" s="240"/>
      <c r="O42" s="240"/>
      <c r="P42" s="240"/>
      <c r="Q42" s="206">
        <f>SUM(N42:P42)</f>
        <v>0</v>
      </c>
      <c r="R42" s="215">
        <f t="shared" si="13"/>
        <v>0</v>
      </c>
      <c r="S42" s="215">
        <f t="shared" si="14"/>
        <v>0</v>
      </c>
      <c r="T42" s="215">
        <f t="shared" si="15"/>
        <v>0</v>
      </c>
      <c r="U42" s="215">
        <f t="shared" si="16"/>
        <v>0</v>
      </c>
      <c r="V42" s="216">
        <v>43000</v>
      </c>
    </row>
    <row r="43" spans="1:22" ht="21">
      <c r="A43" s="242" t="s">
        <v>44</v>
      </c>
      <c r="B43" s="243">
        <f>3000</f>
        <v>3000</v>
      </c>
      <c r="C43" s="203"/>
      <c r="D43" s="203"/>
      <c r="E43" s="204">
        <f>SUM(B43:D43)</f>
        <v>3000</v>
      </c>
      <c r="F43" s="203"/>
      <c r="G43" s="203"/>
      <c r="H43" s="203"/>
      <c r="I43" s="204">
        <f>SUM(F43:H43)</f>
        <v>0</v>
      </c>
      <c r="J43" s="205"/>
      <c r="K43" s="203"/>
      <c r="L43" s="203"/>
      <c r="M43" s="206">
        <f>SUM(J43:L43)</f>
        <v>0</v>
      </c>
      <c r="N43" s="240"/>
      <c r="O43" s="240"/>
      <c r="P43" s="240"/>
      <c r="Q43" s="206">
        <f>SUM(N43:P43)</f>
        <v>0</v>
      </c>
      <c r="R43" s="215">
        <f>E43</f>
        <v>3000</v>
      </c>
      <c r="S43" s="215">
        <f>E43+I43</f>
        <v>3000</v>
      </c>
      <c r="T43" s="215">
        <f>E43+I43+M43</f>
        <v>3000</v>
      </c>
      <c r="U43" s="215">
        <f>E43+I43+M43+Q43</f>
        <v>3000</v>
      </c>
      <c r="V43" s="216">
        <f>133000+168000</f>
        <v>301000</v>
      </c>
    </row>
    <row r="44" spans="1:22" ht="21">
      <c r="A44" s="239" t="s">
        <v>136</v>
      </c>
      <c r="B44" s="231"/>
      <c r="C44" s="203"/>
      <c r="D44" s="203"/>
      <c r="E44" s="204">
        <f t="shared" si="17"/>
        <v>0</v>
      </c>
      <c r="F44" s="203"/>
      <c r="G44" s="203"/>
      <c r="H44" s="203"/>
      <c r="I44" s="204">
        <f t="shared" si="18"/>
        <v>0</v>
      </c>
      <c r="J44" s="205"/>
      <c r="K44" s="203"/>
      <c r="L44" s="203"/>
      <c r="M44" s="206">
        <f t="shared" si="19"/>
        <v>0</v>
      </c>
      <c r="N44" s="240"/>
      <c r="O44" s="240"/>
      <c r="P44" s="240"/>
      <c r="Q44" s="206">
        <f t="shared" si="12"/>
        <v>0</v>
      </c>
      <c r="R44" s="215">
        <f t="shared" si="13"/>
        <v>0</v>
      </c>
      <c r="S44" s="215">
        <f t="shared" si="14"/>
        <v>0</v>
      </c>
      <c r="T44" s="215">
        <f t="shared" si="15"/>
        <v>0</v>
      </c>
      <c r="U44" s="215">
        <f t="shared" si="16"/>
        <v>0</v>
      </c>
      <c r="V44" s="216">
        <v>0</v>
      </c>
    </row>
    <row r="45" spans="1:22" ht="21">
      <c r="A45" s="239" t="s">
        <v>5</v>
      </c>
      <c r="B45" s="231">
        <v>3400</v>
      </c>
      <c r="C45" s="203"/>
      <c r="D45" s="203"/>
      <c r="E45" s="204">
        <f t="shared" si="17"/>
        <v>3400</v>
      </c>
      <c r="F45" s="203"/>
      <c r="G45" s="203"/>
      <c r="H45" s="203"/>
      <c r="I45" s="241">
        <f t="shared" si="18"/>
        <v>0</v>
      </c>
      <c r="J45" s="205"/>
      <c r="K45" s="203"/>
      <c r="L45" s="203"/>
      <c r="M45" s="206">
        <f t="shared" si="19"/>
        <v>0</v>
      </c>
      <c r="N45" s="240"/>
      <c r="O45" s="240"/>
      <c r="P45" s="240"/>
      <c r="Q45" s="206">
        <f t="shared" si="12"/>
        <v>0</v>
      </c>
      <c r="R45" s="215">
        <f t="shared" si="13"/>
        <v>3400</v>
      </c>
      <c r="S45" s="215">
        <f t="shared" si="14"/>
        <v>3400</v>
      </c>
      <c r="T45" s="215">
        <f t="shared" si="15"/>
        <v>3400</v>
      </c>
      <c r="U45" s="215">
        <f t="shared" si="16"/>
        <v>3400</v>
      </c>
      <c r="V45" s="216">
        <v>20000</v>
      </c>
    </row>
    <row r="46" spans="1:22" ht="21">
      <c r="A46" s="239" t="s">
        <v>138</v>
      </c>
      <c r="B46" s="231"/>
      <c r="C46" s="203"/>
      <c r="D46" s="203"/>
      <c r="E46" s="204">
        <f>SUM(B46:D46)</f>
        <v>0</v>
      </c>
      <c r="F46" s="203"/>
      <c r="G46" s="203"/>
      <c r="H46" s="203"/>
      <c r="I46" s="241">
        <f>SUM(F46:H46)</f>
        <v>0</v>
      </c>
      <c r="J46" s="205"/>
      <c r="K46" s="203"/>
      <c r="L46" s="203"/>
      <c r="M46" s="206">
        <f>SUM(J46:L46)</f>
        <v>0</v>
      </c>
      <c r="N46" s="240"/>
      <c r="O46" s="240"/>
      <c r="P46" s="240"/>
      <c r="Q46" s="206">
        <f>SUM(N46:P46)</f>
        <v>0</v>
      </c>
      <c r="R46" s="215">
        <f>E46</f>
        <v>0</v>
      </c>
      <c r="S46" s="215">
        <f>E46+I46</f>
        <v>0</v>
      </c>
      <c r="T46" s="215">
        <f>E46+I46+M46</f>
        <v>0</v>
      </c>
      <c r="U46" s="215">
        <f>E46+I46+M46+Q46</f>
        <v>0</v>
      </c>
      <c r="V46" s="216">
        <v>24000</v>
      </c>
    </row>
    <row r="47" spans="1:22" ht="21">
      <c r="A47" s="239" t="s">
        <v>38</v>
      </c>
      <c r="B47" s="231"/>
      <c r="C47" s="203"/>
      <c r="D47" s="203"/>
      <c r="E47" s="204">
        <f t="shared" si="17"/>
        <v>0</v>
      </c>
      <c r="F47" s="203"/>
      <c r="G47" s="203"/>
      <c r="H47" s="203"/>
      <c r="I47" s="204">
        <f t="shared" si="18"/>
        <v>0</v>
      </c>
      <c r="J47" s="205"/>
      <c r="K47" s="203"/>
      <c r="L47" s="203"/>
      <c r="M47" s="206">
        <f t="shared" si="19"/>
        <v>0</v>
      </c>
      <c r="N47" s="240"/>
      <c r="O47" s="240"/>
      <c r="P47" s="240"/>
      <c r="Q47" s="206">
        <f t="shared" si="12"/>
        <v>0</v>
      </c>
      <c r="R47" s="215">
        <f t="shared" si="13"/>
        <v>0</v>
      </c>
      <c r="S47" s="215">
        <f t="shared" si="14"/>
        <v>0</v>
      </c>
      <c r="T47" s="215">
        <f t="shared" si="15"/>
        <v>0</v>
      </c>
      <c r="U47" s="215">
        <f t="shared" si="16"/>
        <v>0</v>
      </c>
      <c r="V47" s="216">
        <v>70000</v>
      </c>
    </row>
    <row r="48" spans="1:22" ht="21">
      <c r="A48" s="239" t="s">
        <v>53</v>
      </c>
      <c r="B48" s="231"/>
      <c r="C48" s="203"/>
      <c r="D48" s="203"/>
      <c r="E48" s="204">
        <f>SUM(B48:D48)</f>
        <v>0</v>
      </c>
      <c r="F48" s="203"/>
      <c r="G48" s="203"/>
      <c r="H48" s="203"/>
      <c r="I48" s="204">
        <f>SUM(F48:H48)</f>
        <v>0</v>
      </c>
      <c r="J48" s="205"/>
      <c r="K48" s="203"/>
      <c r="L48" s="203"/>
      <c r="M48" s="206">
        <f>SUM(J48:L48)</f>
        <v>0</v>
      </c>
      <c r="N48" s="240"/>
      <c r="O48" s="240"/>
      <c r="P48" s="240"/>
      <c r="Q48" s="206">
        <f>SUM(N48:P48)</f>
        <v>0</v>
      </c>
      <c r="R48" s="215">
        <f>E48</f>
        <v>0</v>
      </c>
      <c r="S48" s="215">
        <f>E48+I48</f>
        <v>0</v>
      </c>
      <c r="T48" s="215">
        <f>E48+I48+M48</f>
        <v>0</v>
      </c>
      <c r="U48" s="215">
        <f>E48+I48+M48+Q48</f>
        <v>0</v>
      </c>
      <c r="V48" s="216">
        <v>20000</v>
      </c>
    </row>
    <row r="49" spans="1:22" ht="21">
      <c r="A49" s="242" t="s">
        <v>47</v>
      </c>
      <c r="B49" s="243"/>
      <c r="C49" s="203"/>
      <c r="D49" s="203"/>
      <c r="E49" s="204">
        <f>SUM(B49:D49)</f>
        <v>0</v>
      </c>
      <c r="F49" s="203"/>
      <c r="G49" s="203"/>
      <c r="H49" s="203"/>
      <c r="I49" s="204">
        <f>SUM(F49:H49)</f>
        <v>0</v>
      </c>
      <c r="J49" s="205"/>
      <c r="K49" s="203"/>
      <c r="L49" s="203"/>
      <c r="M49" s="206">
        <f>SUM(J49:L49)</f>
        <v>0</v>
      </c>
      <c r="N49" s="240"/>
      <c r="O49" s="240"/>
      <c r="P49" s="240"/>
      <c r="Q49" s="206">
        <f>SUM(N49:P49)</f>
        <v>0</v>
      </c>
      <c r="R49" s="215">
        <f>E49</f>
        <v>0</v>
      </c>
      <c r="S49" s="215">
        <f>E49+I49</f>
        <v>0</v>
      </c>
      <c r="T49" s="215">
        <f>E49+I49+M49</f>
        <v>0</v>
      </c>
      <c r="U49" s="215">
        <f>E49+I49+M49+Q49</f>
        <v>0</v>
      </c>
      <c r="V49" s="216">
        <v>20000</v>
      </c>
    </row>
    <row r="50" spans="1:22" ht="21">
      <c r="A50" s="239" t="s">
        <v>48</v>
      </c>
      <c r="B50" s="231">
        <v>4200</v>
      </c>
      <c r="C50" s="203"/>
      <c r="D50" s="203"/>
      <c r="E50" s="204">
        <f>SUM(B50:D50)</f>
        <v>4200</v>
      </c>
      <c r="F50" s="203"/>
      <c r="G50" s="203"/>
      <c r="H50" s="203"/>
      <c r="I50" s="204">
        <f>SUM(F50:H50)</f>
        <v>0</v>
      </c>
      <c r="J50" s="205"/>
      <c r="K50" s="203"/>
      <c r="L50" s="203"/>
      <c r="M50" s="206">
        <f>SUM(J50:L50)</f>
        <v>0</v>
      </c>
      <c r="N50" s="240"/>
      <c r="O50" s="240"/>
      <c r="P50" s="240"/>
      <c r="Q50" s="206">
        <f>SUM(N50:P50)</f>
        <v>0</v>
      </c>
      <c r="R50" s="215">
        <f>E50</f>
        <v>4200</v>
      </c>
      <c r="S50" s="215">
        <f>E50+I50</f>
        <v>4200</v>
      </c>
      <c r="T50" s="215">
        <f>E50+I50+M50</f>
        <v>4200</v>
      </c>
      <c r="U50" s="215">
        <f>E50+I50+M50+Q50</f>
        <v>4200</v>
      </c>
      <c r="V50" s="216">
        <v>100000</v>
      </c>
    </row>
    <row r="51" spans="1:22" ht="21">
      <c r="A51" s="239" t="s">
        <v>51</v>
      </c>
      <c r="B51" s="231"/>
      <c r="C51" s="203"/>
      <c r="D51" s="203"/>
      <c r="E51" s="204">
        <f>SUM(B51:D51)</f>
        <v>0</v>
      </c>
      <c r="F51" s="203"/>
      <c r="G51" s="203"/>
      <c r="H51" s="203"/>
      <c r="I51" s="204">
        <f>SUM(F51:H51)</f>
        <v>0</v>
      </c>
      <c r="J51" s="205"/>
      <c r="K51" s="203"/>
      <c r="L51" s="203"/>
      <c r="M51" s="206">
        <f>SUM(J51:L51)</f>
        <v>0</v>
      </c>
      <c r="N51" s="240"/>
      <c r="O51" s="240"/>
      <c r="P51" s="240"/>
      <c r="Q51" s="206">
        <f>SUM(N51:P51)</f>
        <v>0</v>
      </c>
      <c r="R51" s="215">
        <f>E51</f>
        <v>0</v>
      </c>
      <c r="S51" s="215">
        <f>E51+I51</f>
        <v>0</v>
      </c>
      <c r="T51" s="215">
        <f>E51+I51+M51</f>
        <v>0</v>
      </c>
      <c r="U51" s="215">
        <f>E51+I51+M51+Q51</f>
        <v>0</v>
      </c>
      <c r="V51" s="216">
        <v>60000</v>
      </c>
    </row>
    <row r="52" spans="1:22" ht="21">
      <c r="A52" s="239" t="s">
        <v>147</v>
      </c>
      <c r="B52" s="231"/>
      <c r="C52" s="203"/>
      <c r="D52" s="203"/>
      <c r="E52" s="204"/>
      <c r="F52" s="203"/>
      <c r="G52" s="203"/>
      <c r="H52" s="203"/>
      <c r="I52" s="204"/>
      <c r="J52" s="205"/>
      <c r="K52" s="203"/>
      <c r="L52" s="203"/>
      <c r="M52" s="206"/>
      <c r="N52" s="240"/>
      <c r="O52" s="240"/>
      <c r="P52" s="240"/>
      <c r="Q52" s="206"/>
      <c r="R52" s="215"/>
      <c r="S52" s="215"/>
      <c r="T52" s="215"/>
      <c r="U52" s="215"/>
      <c r="V52" s="216">
        <v>75000</v>
      </c>
    </row>
    <row r="53" spans="1:22" ht="21">
      <c r="A53" s="239"/>
      <c r="B53" s="231"/>
      <c r="C53" s="203"/>
      <c r="D53" s="203"/>
      <c r="E53" s="204"/>
      <c r="F53" s="203"/>
      <c r="G53" s="203"/>
      <c r="H53" s="203"/>
      <c r="I53" s="204"/>
      <c r="J53" s="205"/>
      <c r="K53" s="203"/>
      <c r="L53" s="203"/>
      <c r="M53" s="206"/>
      <c r="N53" s="240"/>
      <c r="O53" s="240"/>
      <c r="P53" s="240"/>
      <c r="Q53" s="206"/>
      <c r="R53" s="215"/>
      <c r="S53" s="215"/>
      <c r="T53" s="215"/>
      <c r="U53" s="215"/>
      <c r="V53" s="216"/>
    </row>
    <row r="54" spans="1:22" ht="21">
      <c r="A54" s="239"/>
      <c r="B54" s="231"/>
      <c r="C54" s="203"/>
      <c r="D54" s="203"/>
      <c r="E54" s="204"/>
      <c r="F54" s="203"/>
      <c r="G54" s="203"/>
      <c r="H54" s="203"/>
      <c r="I54" s="204"/>
      <c r="J54" s="205"/>
      <c r="K54" s="203"/>
      <c r="L54" s="203"/>
      <c r="M54" s="206"/>
      <c r="N54" s="240"/>
      <c r="O54" s="240"/>
      <c r="P54" s="240"/>
      <c r="Q54" s="206"/>
      <c r="R54" s="215"/>
      <c r="S54" s="215"/>
      <c r="T54" s="215"/>
      <c r="U54" s="215"/>
      <c r="V54" s="216"/>
    </row>
    <row r="55" spans="1:22" ht="21">
      <c r="A55" s="237" t="s">
        <v>57</v>
      </c>
      <c r="B55" s="244">
        <f>SUM(B56:B58)</f>
        <v>164819.34</v>
      </c>
      <c r="C55" s="204">
        <f>SUM(C56:C58)</f>
        <v>0</v>
      </c>
      <c r="D55" s="204">
        <f t="shared" ref="D55:Q55" si="20">SUM(D56:D59)</f>
        <v>0</v>
      </c>
      <c r="E55" s="204">
        <f t="shared" si="20"/>
        <v>164819.34</v>
      </c>
      <c r="F55" s="204">
        <f>SUM(F56:F58)</f>
        <v>0</v>
      </c>
      <c r="G55" s="204">
        <f t="shared" si="20"/>
        <v>0</v>
      </c>
      <c r="H55" s="204">
        <f>SUM(H56:H59)</f>
        <v>0</v>
      </c>
      <c r="I55" s="204">
        <f>SUM(I56:I59)</f>
        <v>0</v>
      </c>
      <c r="J55" s="206">
        <f t="shared" si="20"/>
        <v>0</v>
      </c>
      <c r="K55" s="204">
        <f>SUM(K56:K58)</f>
        <v>0</v>
      </c>
      <c r="L55" s="203">
        <f t="shared" si="20"/>
        <v>0</v>
      </c>
      <c r="M55" s="206">
        <f t="shared" si="20"/>
        <v>0</v>
      </c>
      <c r="N55" s="203">
        <f>SUM(N56:N59)</f>
        <v>0</v>
      </c>
      <c r="O55" s="203">
        <f>SUM(O56:O59)</f>
        <v>0</v>
      </c>
      <c r="P55" s="203">
        <f>SUM(P56:P59)</f>
        <v>0</v>
      </c>
      <c r="Q55" s="206">
        <f t="shared" si="20"/>
        <v>0</v>
      </c>
      <c r="R55" s="215">
        <f>SUM(R56:R58)</f>
        <v>164819.34</v>
      </c>
      <c r="S55" s="215">
        <f>SUM(S56:S58)</f>
        <v>164819.34</v>
      </c>
      <c r="T55" s="215">
        <f>SUM(T56:T58)</f>
        <v>164819.34</v>
      </c>
      <c r="U55" s="215">
        <f>SUM(U56:U58)</f>
        <v>164819.34</v>
      </c>
      <c r="V55" s="220">
        <f>SUM(V56:V58)</f>
        <v>2087022.3</v>
      </c>
    </row>
    <row r="56" spans="1:22" ht="21">
      <c r="A56" s="239" t="s">
        <v>58</v>
      </c>
      <c r="B56" s="243">
        <v>67594.53</v>
      </c>
      <c r="C56" s="203"/>
      <c r="D56" s="203"/>
      <c r="E56" s="204">
        <f t="shared" ref="E56:E89" si="21">SUM(B56:D56)</f>
        <v>67594.53</v>
      </c>
      <c r="F56" s="203"/>
      <c r="G56" s="203"/>
      <c r="H56" s="203"/>
      <c r="I56" s="204">
        <f t="shared" ref="I56:I89" si="22">SUM(F56:H56)</f>
        <v>0</v>
      </c>
      <c r="J56" s="205"/>
      <c r="K56" s="203"/>
      <c r="L56" s="203"/>
      <c r="M56" s="206">
        <f t="shared" ref="M56:M89" si="23">SUM(J56:L56)</f>
        <v>0</v>
      </c>
      <c r="N56" s="240"/>
      <c r="O56" s="240"/>
      <c r="P56" s="240"/>
      <c r="Q56" s="206">
        <f t="shared" ref="Q56:Q89" si="24">SUM(N56:P56)</f>
        <v>0</v>
      </c>
      <c r="R56" s="215">
        <f t="shared" si="13"/>
        <v>67594.53</v>
      </c>
      <c r="S56" s="215">
        <f t="shared" si="14"/>
        <v>67594.53</v>
      </c>
      <c r="T56" s="215">
        <f t="shared" si="15"/>
        <v>67594.53</v>
      </c>
      <c r="U56" s="215">
        <f t="shared" si="16"/>
        <v>67594.53</v>
      </c>
      <c r="V56" s="216">
        <v>1186613.3</v>
      </c>
    </row>
    <row r="57" spans="1:22" ht="21">
      <c r="A57" s="239" t="s">
        <v>59</v>
      </c>
      <c r="B57" s="231">
        <f>(7000*6)+2000</f>
        <v>44000</v>
      </c>
      <c r="C57" s="203"/>
      <c r="D57" s="203"/>
      <c r="E57" s="204">
        <f t="shared" si="21"/>
        <v>44000</v>
      </c>
      <c r="F57" s="203"/>
      <c r="G57" s="203"/>
      <c r="H57" s="203"/>
      <c r="I57" s="204">
        <f t="shared" si="22"/>
        <v>0</v>
      </c>
      <c r="J57" s="205"/>
      <c r="K57" s="203"/>
      <c r="L57" s="203"/>
      <c r="M57" s="206">
        <f t="shared" si="23"/>
        <v>0</v>
      </c>
      <c r="N57" s="240"/>
      <c r="O57" s="240"/>
      <c r="P57" s="240"/>
      <c r="Q57" s="206">
        <f t="shared" si="24"/>
        <v>0</v>
      </c>
      <c r="R57" s="215">
        <f t="shared" si="13"/>
        <v>44000</v>
      </c>
      <c r="S57" s="215">
        <f t="shared" si="14"/>
        <v>44000</v>
      </c>
      <c r="T57" s="215">
        <f t="shared" si="15"/>
        <v>44000</v>
      </c>
      <c r="U57" s="215">
        <f t="shared" si="16"/>
        <v>44000</v>
      </c>
      <c r="V57" s="216">
        <f>444000+180000</f>
        <v>624000</v>
      </c>
    </row>
    <row r="58" spans="1:22" ht="21">
      <c r="A58" s="239" t="s">
        <v>139</v>
      </c>
      <c r="B58" s="231">
        <f>40000+13224.81</f>
        <v>53224.81</v>
      </c>
      <c r="C58" s="203"/>
      <c r="D58" s="203"/>
      <c r="E58" s="204">
        <f t="shared" si="21"/>
        <v>53224.81</v>
      </c>
      <c r="F58" s="203"/>
      <c r="G58" s="203"/>
      <c r="H58" s="203"/>
      <c r="I58" s="204">
        <f t="shared" si="22"/>
        <v>0</v>
      </c>
      <c r="J58" s="205"/>
      <c r="K58" s="203"/>
      <c r="L58" s="203"/>
      <c r="M58" s="206">
        <f t="shared" si="23"/>
        <v>0</v>
      </c>
      <c r="N58" s="240"/>
      <c r="O58" s="240"/>
      <c r="P58" s="240"/>
      <c r="Q58" s="206">
        <f t="shared" si="24"/>
        <v>0</v>
      </c>
      <c r="R58" s="215">
        <f t="shared" si="13"/>
        <v>53224.81</v>
      </c>
      <c r="S58" s="215">
        <f t="shared" si="14"/>
        <v>53224.81</v>
      </c>
      <c r="T58" s="215">
        <f t="shared" si="15"/>
        <v>53224.81</v>
      </c>
      <c r="U58" s="215">
        <f t="shared" si="16"/>
        <v>53224.81</v>
      </c>
      <c r="V58" s="216">
        <v>276409</v>
      </c>
    </row>
    <row r="59" spans="1:22" ht="21">
      <c r="A59" s="239"/>
      <c r="B59" s="231"/>
      <c r="C59" s="203"/>
      <c r="D59" s="203"/>
      <c r="E59" s="204"/>
      <c r="F59" s="203"/>
      <c r="G59" s="203"/>
      <c r="H59" s="203"/>
      <c r="I59" s="204"/>
      <c r="J59" s="205"/>
      <c r="K59" s="203"/>
      <c r="L59" s="203"/>
      <c r="M59" s="206"/>
      <c r="N59" s="240"/>
      <c r="O59" s="240"/>
      <c r="P59" s="240"/>
      <c r="Q59" s="206"/>
      <c r="R59" s="215"/>
      <c r="S59" s="215"/>
      <c r="T59" s="215"/>
      <c r="U59" s="215"/>
      <c r="V59" s="216"/>
    </row>
    <row r="60" spans="1:22" ht="21">
      <c r="A60" s="237" t="s">
        <v>60</v>
      </c>
      <c r="B60" s="244">
        <f>SUM(B61:B76)</f>
        <v>81345.72</v>
      </c>
      <c r="C60" s="204">
        <f>SUM(C61:C76)</f>
        <v>0</v>
      </c>
      <c r="D60" s="204">
        <f>SUM(D61:D77)</f>
        <v>0</v>
      </c>
      <c r="E60" s="204">
        <f>SUM(E61:E77)</f>
        <v>81345.72</v>
      </c>
      <c r="F60" s="204">
        <f>SUM(F61:F76)</f>
        <v>0</v>
      </c>
      <c r="G60" s="204">
        <f>SUM(G61:G76)</f>
        <v>0</v>
      </c>
      <c r="H60" s="204">
        <f>SUM(H61:H76)</f>
        <v>0</v>
      </c>
      <c r="I60" s="204">
        <f>SUM(I61:I76)</f>
        <v>0</v>
      </c>
      <c r="J60" s="206">
        <f>SUM(J61:J77)</f>
        <v>0</v>
      </c>
      <c r="K60" s="204">
        <f>SUM(K61:K76)</f>
        <v>0</v>
      </c>
      <c r="L60" s="203">
        <f t="shared" ref="L60:Q60" si="25">SUM(L61:L77)</f>
        <v>0</v>
      </c>
      <c r="M60" s="206">
        <f t="shared" si="25"/>
        <v>0</v>
      </c>
      <c r="N60" s="203">
        <f t="shared" si="25"/>
        <v>0</v>
      </c>
      <c r="O60" s="203">
        <f t="shared" si="25"/>
        <v>0</v>
      </c>
      <c r="P60" s="203">
        <f t="shared" si="25"/>
        <v>0</v>
      </c>
      <c r="Q60" s="206">
        <f t="shared" si="25"/>
        <v>0</v>
      </c>
      <c r="R60" s="215">
        <f>E60</f>
        <v>81345.72</v>
      </c>
      <c r="S60" s="215">
        <f>E60+I60</f>
        <v>81345.72</v>
      </c>
      <c r="T60" s="215">
        <f>E60+I60+M60</f>
        <v>81345.72</v>
      </c>
      <c r="U60" s="215">
        <f>E60+I60+M60+Q60</f>
        <v>81345.72</v>
      </c>
      <c r="V60" s="220">
        <f>SUM(V61:V77)</f>
        <v>909000</v>
      </c>
    </row>
    <row r="61" spans="1:22" ht="21">
      <c r="A61" s="239" t="s">
        <v>78</v>
      </c>
      <c r="B61" s="231">
        <f>60+3+100+50+50+50+50+50+100+50+50+104+200+100+50+603.54+30.18+150+150+45</f>
        <v>2045.72</v>
      </c>
      <c r="C61" s="225"/>
      <c r="D61" s="225"/>
      <c r="E61" s="204">
        <f t="shared" si="21"/>
        <v>2045.72</v>
      </c>
      <c r="F61" s="203"/>
      <c r="G61" s="203"/>
      <c r="H61" s="203"/>
      <c r="I61" s="204">
        <f t="shared" si="22"/>
        <v>0</v>
      </c>
      <c r="J61" s="205"/>
      <c r="K61" s="203"/>
      <c r="L61" s="203"/>
      <c r="M61" s="206">
        <f t="shared" si="23"/>
        <v>0</v>
      </c>
      <c r="N61" s="411"/>
      <c r="O61" s="240"/>
      <c r="P61" s="240"/>
      <c r="Q61" s="206">
        <f t="shared" si="24"/>
        <v>0</v>
      </c>
      <c r="R61" s="215">
        <f t="shared" si="13"/>
        <v>2045.72</v>
      </c>
      <c r="S61" s="215">
        <f t="shared" si="14"/>
        <v>2045.72</v>
      </c>
      <c r="T61" s="215">
        <f t="shared" si="15"/>
        <v>2045.72</v>
      </c>
      <c r="U61" s="215">
        <f t="shared" si="16"/>
        <v>2045.72</v>
      </c>
      <c r="V61" s="216">
        <v>20000</v>
      </c>
    </row>
    <row r="62" spans="1:22" ht="21">
      <c r="A62" s="239" t="s">
        <v>62</v>
      </c>
      <c r="B62" s="231"/>
      <c r="C62" s="203"/>
      <c r="D62" s="203"/>
      <c r="E62" s="204">
        <f t="shared" si="21"/>
        <v>0</v>
      </c>
      <c r="F62" s="203"/>
      <c r="G62" s="203"/>
      <c r="H62" s="203"/>
      <c r="I62" s="204">
        <f t="shared" si="22"/>
        <v>0</v>
      </c>
      <c r="J62" s="205"/>
      <c r="K62" s="203"/>
      <c r="L62" s="203"/>
      <c r="M62" s="206">
        <f t="shared" si="23"/>
        <v>0</v>
      </c>
      <c r="N62" s="240"/>
      <c r="O62" s="240"/>
      <c r="P62" s="240"/>
      <c r="Q62" s="206">
        <f t="shared" si="24"/>
        <v>0</v>
      </c>
      <c r="R62" s="215">
        <f t="shared" si="13"/>
        <v>0</v>
      </c>
      <c r="S62" s="215">
        <f t="shared" si="14"/>
        <v>0</v>
      </c>
      <c r="T62" s="215">
        <f t="shared" si="15"/>
        <v>0</v>
      </c>
      <c r="U62" s="215">
        <f t="shared" si="16"/>
        <v>0</v>
      </c>
      <c r="V62" s="216">
        <v>36000</v>
      </c>
    </row>
    <row r="63" spans="1:22" ht="21">
      <c r="A63" s="239" t="s">
        <v>63</v>
      </c>
      <c r="B63" s="231">
        <f>13500+3500</f>
        <v>17000</v>
      </c>
      <c r="C63" s="203"/>
      <c r="D63" s="203"/>
      <c r="E63" s="204">
        <f t="shared" si="21"/>
        <v>17000</v>
      </c>
      <c r="F63" s="203"/>
      <c r="G63" s="203"/>
      <c r="H63" s="203"/>
      <c r="I63" s="204">
        <f t="shared" si="22"/>
        <v>0</v>
      </c>
      <c r="J63" s="205"/>
      <c r="K63" s="203"/>
      <c r="L63" s="203"/>
      <c r="M63" s="206">
        <f t="shared" si="23"/>
        <v>0</v>
      </c>
      <c r="N63" s="240"/>
      <c r="O63" s="240"/>
      <c r="P63" s="240"/>
      <c r="Q63" s="206">
        <f t="shared" si="24"/>
        <v>0</v>
      </c>
      <c r="R63" s="215">
        <f t="shared" si="13"/>
        <v>17000</v>
      </c>
      <c r="S63" s="215">
        <f t="shared" si="14"/>
        <v>17000</v>
      </c>
      <c r="T63" s="215">
        <f t="shared" si="15"/>
        <v>17000</v>
      </c>
      <c r="U63" s="215">
        <f t="shared" si="16"/>
        <v>17000</v>
      </c>
      <c r="V63" s="216">
        <v>120000</v>
      </c>
    </row>
    <row r="64" spans="1:22" ht="21">
      <c r="A64" s="239" t="s">
        <v>64</v>
      </c>
      <c r="B64" s="231"/>
      <c r="C64" s="203"/>
      <c r="D64" s="203"/>
      <c r="E64" s="204">
        <f t="shared" si="21"/>
        <v>0</v>
      </c>
      <c r="F64" s="203"/>
      <c r="G64" s="203"/>
      <c r="H64" s="203"/>
      <c r="I64" s="204">
        <f t="shared" si="22"/>
        <v>0</v>
      </c>
      <c r="J64" s="205"/>
      <c r="K64" s="203"/>
      <c r="L64" s="203"/>
      <c r="M64" s="206">
        <f t="shared" si="23"/>
        <v>0</v>
      </c>
      <c r="N64" s="240"/>
      <c r="O64" s="240"/>
      <c r="P64" s="240"/>
      <c r="Q64" s="206">
        <f t="shared" si="24"/>
        <v>0</v>
      </c>
      <c r="R64" s="215">
        <f t="shared" si="13"/>
        <v>0</v>
      </c>
      <c r="S64" s="215">
        <f t="shared" si="14"/>
        <v>0</v>
      </c>
      <c r="T64" s="215">
        <f t="shared" si="15"/>
        <v>0</v>
      </c>
      <c r="U64" s="215">
        <f t="shared" si="16"/>
        <v>0</v>
      </c>
      <c r="V64" s="216">
        <v>20000</v>
      </c>
    </row>
    <row r="65" spans="1:22" ht="21">
      <c r="A65" s="239" t="s">
        <v>80</v>
      </c>
      <c r="B65" s="231"/>
      <c r="C65" s="203"/>
      <c r="D65" s="203"/>
      <c r="E65" s="204">
        <f t="shared" si="21"/>
        <v>0</v>
      </c>
      <c r="F65" s="203"/>
      <c r="G65" s="203"/>
      <c r="H65" s="203"/>
      <c r="I65" s="204">
        <f t="shared" si="22"/>
        <v>0</v>
      </c>
      <c r="J65" s="205"/>
      <c r="K65" s="203"/>
      <c r="L65" s="225"/>
      <c r="M65" s="245">
        <f t="shared" si="23"/>
        <v>0</v>
      </c>
      <c r="N65" s="246"/>
      <c r="O65" s="246"/>
      <c r="P65" s="246"/>
      <c r="Q65" s="245">
        <f t="shared" si="24"/>
        <v>0</v>
      </c>
      <c r="R65" s="230">
        <f t="shared" si="13"/>
        <v>0</v>
      </c>
      <c r="S65" s="230">
        <f t="shared" si="14"/>
        <v>0</v>
      </c>
      <c r="T65" s="230">
        <f t="shared" si="15"/>
        <v>0</v>
      </c>
      <c r="U65" s="230">
        <f t="shared" si="16"/>
        <v>0</v>
      </c>
      <c r="V65" s="216">
        <v>25000</v>
      </c>
    </row>
    <row r="66" spans="1:22" ht="21">
      <c r="A66" s="239" t="s">
        <v>79</v>
      </c>
      <c r="B66" s="231"/>
      <c r="C66" s="203"/>
      <c r="D66" s="203"/>
      <c r="E66" s="204">
        <f t="shared" si="21"/>
        <v>0</v>
      </c>
      <c r="F66" s="203"/>
      <c r="G66" s="203"/>
      <c r="H66" s="203"/>
      <c r="I66" s="204">
        <f t="shared" si="22"/>
        <v>0</v>
      </c>
      <c r="J66" s="205"/>
      <c r="K66" s="203"/>
      <c r="L66" s="203"/>
      <c r="M66" s="206">
        <f t="shared" si="23"/>
        <v>0</v>
      </c>
      <c r="N66" s="240"/>
      <c r="O66" s="240"/>
      <c r="P66" s="240"/>
      <c r="Q66" s="206">
        <f t="shared" si="24"/>
        <v>0</v>
      </c>
      <c r="R66" s="215">
        <f t="shared" si="13"/>
        <v>0</v>
      </c>
      <c r="S66" s="215">
        <f t="shared" si="14"/>
        <v>0</v>
      </c>
      <c r="T66" s="215">
        <f t="shared" si="15"/>
        <v>0</v>
      </c>
      <c r="U66" s="215">
        <f t="shared" si="16"/>
        <v>0</v>
      </c>
      <c r="V66" s="216">
        <v>20000</v>
      </c>
    </row>
    <row r="67" spans="1:22" ht="21">
      <c r="A67" s="242" t="s">
        <v>83</v>
      </c>
      <c r="B67" s="240">
        <f>80*145</f>
        <v>11600</v>
      </c>
      <c r="C67" s="231"/>
      <c r="D67" s="203"/>
      <c r="E67" s="204">
        <f t="shared" si="21"/>
        <v>11600</v>
      </c>
      <c r="F67" s="203"/>
      <c r="G67" s="203"/>
      <c r="H67" s="203"/>
      <c r="I67" s="204">
        <f t="shared" si="22"/>
        <v>0</v>
      </c>
      <c r="J67" s="205"/>
      <c r="K67" s="203"/>
      <c r="L67" s="203"/>
      <c r="M67" s="206">
        <f t="shared" si="23"/>
        <v>0</v>
      </c>
      <c r="N67" s="240"/>
      <c r="O67" s="240"/>
      <c r="P67" s="240"/>
      <c r="Q67" s="206">
        <f t="shared" si="24"/>
        <v>0</v>
      </c>
      <c r="R67" s="215">
        <f t="shared" si="13"/>
        <v>11600</v>
      </c>
      <c r="S67" s="215">
        <f t="shared" si="14"/>
        <v>11600</v>
      </c>
      <c r="T67" s="215">
        <f t="shared" si="15"/>
        <v>11600</v>
      </c>
      <c r="U67" s="215">
        <f t="shared" si="16"/>
        <v>11600</v>
      </c>
      <c r="V67" s="216">
        <f>119000+15000</f>
        <v>134000</v>
      </c>
    </row>
    <row r="68" spans="1:22" ht="21">
      <c r="A68" s="239" t="s">
        <v>82</v>
      </c>
      <c r="B68" s="240">
        <f>145*60</f>
        <v>8700</v>
      </c>
      <c r="C68" s="231"/>
      <c r="D68" s="231"/>
      <c r="E68" s="204">
        <f t="shared" si="21"/>
        <v>8700</v>
      </c>
      <c r="F68" s="203"/>
      <c r="G68" s="203"/>
      <c r="H68" s="203"/>
      <c r="I68" s="241">
        <f t="shared" si="22"/>
        <v>0</v>
      </c>
      <c r="J68" s="205"/>
      <c r="K68" s="203"/>
      <c r="L68" s="203"/>
      <c r="M68" s="206">
        <f t="shared" si="23"/>
        <v>0</v>
      </c>
      <c r="N68" s="240"/>
      <c r="O68" s="240"/>
      <c r="P68" s="240"/>
      <c r="Q68" s="206">
        <f t="shared" si="24"/>
        <v>0</v>
      </c>
      <c r="R68" s="215">
        <f>E68</f>
        <v>8700</v>
      </c>
      <c r="S68" s="215">
        <f>E68+I68</f>
        <v>8700</v>
      </c>
      <c r="T68" s="215">
        <f>E68+I68+M68</f>
        <v>8700</v>
      </c>
      <c r="U68" s="215">
        <f>E68+I68+M68+Q68</f>
        <v>8700</v>
      </c>
      <c r="V68" s="216">
        <f>85000+15000</f>
        <v>100000</v>
      </c>
    </row>
    <row r="69" spans="1:22" ht="21">
      <c r="A69" s="239" t="s">
        <v>65</v>
      </c>
      <c r="B69" s="247"/>
      <c r="C69" s="247"/>
      <c r="D69" s="247"/>
      <c r="E69" s="204">
        <f t="shared" si="21"/>
        <v>0</v>
      </c>
      <c r="F69" s="203"/>
      <c r="G69" s="203"/>
      <c r="H69" s="203"/>
      <c r="I69" s="204">
        <f t="shared" si="22"/>
        <v>0</v>
      </c>
      <c r="J69" s="205"/>
      <c r="K69" s="203"/>
      <c r="L69" s="203"/>
      <c r="M69" s="206">
        <f t="shared" si="23"/>
        <v>0</v>
      </c>
      <c r="N69" s="240"/>
      <c r="O69" s="240"/>
      <c r="P69" s="240"/>
      <c r="Q69" s="206">
        <f t="shared" si="24"/>
        <v>0</v>
      </c>
      <c r="R69" s="215">
        <f>E69</f>
        <v>0</v>
      </c>
      <c r="S69" s="215">
        <f>E69+I69</f>
        <v>0</v>
      </c>
      <c r="T69" s="215">
        <f>E69+I69+M69</f>
        <v>0</v>
      </c>
      <c r="U69" s="215">
        <f>E69+I69+M69+Q69</f>
        <v>0</v>
      </c>
      <c r="V69" s="216">
        <v>10000</v>
      </c>
    </row>
    <row r="70" spans="1:22" ht="21">
      <c r="A70" s="239" t="s">
        <v>85</v>
      </c>
      <c r="B70" s="231"/>
      <c r="C70" s="203"/>
      <c r="D70" s="203"/>
      <c r="E70" s="204">
        <f t="shared" si="21"/>
        <v>0</v>
      </c>
      <c r="F70" s="203"/>
      <c r="G70" s="203"/>
      <c r="H70" s="203"/>
      <c r="I70" s="204">
        <f t="shared" si="22"/>
        <v>0</v>
      </c>
      <c r="J70" s="205"/>
      <c r="K70" s="203"/>
      <c r="L70" s="203"/>
      <c r="M70" s="206">
        <f t="shared" si="23"/>
        <v>0</v>
      </c>
      <c r="N70" s="240"/>
      <c r="O70" s="240"/>
      <c r="P70" s="240"/>
      <c r="Q70" s="206">
        <f t="shared" si="24"/>
        <v>0</v>
      </c>
      <c r="R70" s="215">
        <f>E70</f>
        <v>0</v>
      </c>
      <c r="S70" s="215">
        <f>E70+I70</f>
        <v>0</v>
      </c>
      <c r="T70" s="215">
        <f>E70+I70+M70</f>
        <v>0</v>
      </c>
      <c r="U70" s="215">
        <f>E70+I70+M70+Q70</f>
        <v>0</v>
      </c>
      <c r="V70" s="216">
        <v>30000</v>
      </c>
    </row>
    <row r="71" spans="1:22" ht="84">
      <c r="A71" s="242" t="s">
        <v>157</v>
      </c>
      <c r="B71" s="227"/>
      <c r="C71" s="203"/>
      <c r="D71" s="203"/>
      <c r="E71" s="250">
        <f t="shared" ref="E71:E76" si="26">SUM(B71:D71)</f>
        <v>0</v>
      </c>
      <c r="F71" s="225"/>
      <c r="G71" s="225"/>
      <c r="H71" s="225"/>
      <c r="I71" s="250">
        <f t="shared" si="22"/>
        <v>0</v>
      </c>
      <c r="J71" s="252"/>
      <c r="K71" s="225"/>
      <c r="L71" s="225"/>
      <c r="M71" s="245">
        <f t="shared" ref="M71:M76" si="27">SUM(J71:L71)</f>
        <v>0</v>
      </c>
      <c r="N71" s="246"/>
      <c r="O71" s="240"/>
      <c r="P71" s="240"/>
      <c r="Q71" s="206">
        <f t="shared" ref="Q71:Q76" si="28">SUM(N71:P71)</f>
        <v>0</v>
      </c>
      <c r="R71" s="215">
        <f t="shared" ref="R71:R76" si="29">E71</f>
        <v>0</v>
      </c>
      <c r="S71" s="215">
        <f t="shared" ref="S71:S76" si="30">E71+I71</f>
        <v>0</v>
      </c>
      <c r="T71" s="215">
        <f t="shared" ref="T71:T76" si="31">E71+I71+M71</f>
        <v>0</v>
      </c>
      <c r="U71" s="215">
        <f t="shared" ref="U71:U76" si="32">E71+I71+M71+Q71</f>
        <v>0</v>
      </c>
      <c r="V71" s="216">
        <v>100000</v>
      </c>
    </row>
    <row r="72" spans="1:22" ht="21">
      <c r="A72" s="239" t="s">
        <v>84</v>
      </c>
      <c r="B72" s="231">
        <v>2000</v>
      </c>
      <c r="C72" s="203"/>
      <c r="D72" s="203"/>
      <c r="E72" s="204">
        <f t="shared" si="26"/>
        <v>2000</v>
      </c>
      <c r="F72" s="203"/>
      <c r="G72" s="203"/>
      <c r="H72" s="203"/>
      <c r="I72" s="204">
        <f t="shared" si="22"/>
        <v>0</v>
      </c>
      <c r="J72" s="205"/>
      <c r="K72" s="203"/>
      <c r="L72" s="203"/>
      <c r="M72" s="206">
        <f t="shared" si="27"/>
        <v>0</v>
      </c>
      <c r="N72" s="240"/>
      <c r="O72" s="240"/>
      <c r="P72" s="240"/>
      <c r="Q72" s="206">
        <f t="shared" si="28"/>
        <v>0</v>
      </c>
      <c r="R72" s="215">
        <f t="shared" si="29"/>
        <v>2000</v>
      </c>
      <c r="S72" s="215">
        <f t="shared" si="30"/>
        <v>2000</v>
      </c>
      <c r="T72" s="215">
        <f t="shared" si="31"/>
        <v>2000</v>
      </c>
      <c r="U72" s="215">
        <f t="shared" si="32"/>
        <v>2000</v>
      </c>
      <c r="V72" s="216">
        <v>24000</v>
      </c>
    </row>
    <row r="73" spans="1:22" ht="21">
      <c r="A73" s="242" t="s">
        <v>61</v>
      </c>
      <c r="B73" s="248"/>
      <c r="C73" s="203"/>
      <c r="D73" s="203"/>
      <c r="E73" s="204">
        <f t="shared" si="26"/>
        <v>0</v>
      </c>
      <c r="F73" s="203"/>
      <c r="G73" s="203"/>
      <c r="H73" s="203"/>
      <c r="I73" s="204">
        <f t="shared" si="22"/>
        <v>0</v>
      </c>
      <c r="J73" s="205"/>
      <c r="K73" s="203"/>
      <c r="L73" s="203"/>
      <c r="M73" s="206">
        <f t="shared" si="27"/>
        <v>0</v>
      </c>
      <c r="N73" s="240"/>
      <c r="O73" s="240"/>
      <c r="P73" s="240"/>
      <c r="Q73" s="206">
        <f t="shared" si="28"/>
        <v>0</v>
      </c>
      <c r="R73" s="215">
        <f t="shared" si="29"/>
        <v>0</v>
      </c>
      <c r="S73" s="215">
        <f t="shared" si="30"/>
        <v>0</v>
      </c>
      <c r="T73" s="215">
        <f t="shared" si="31"/>
        <v>0</v>
      </c>
      <c r="U73" s="215">
        <f t="shared" si="32"/>
        <v>0</v>
      </c>
      <c r="V73" s="216">
        <v>140000</v>
      </c>
    </row>
    <row r="74" spans="1:22" ht="21">
      <c r="A74" s="239" t="s">
        <v>81</v>
      </c>
      <c r="B74" s="231"/>
      <c r="C74" s="203"/>
      <c r="D74" s="203"/>
      <c r="E74" s="204">
        <f t="shared" si="26"/>
        <v>0</v>
      </c>
      <c r="F74" s="203"/>
      <c r="G74" s="203"/>
      <c r="H74" s="203"/>
      <c r="I74" s="204">
        <f t="shared" si="22"/>
        <v>0</v>
      </c>
      <c r="J74" s="205"/>
      <c r="K74" s="203"/>
      <c r="L74" s="203"/>
      <c r="M74" s="206">
        <f t="shared" si="27"/>
        <v>0</v>
      </c>
      <c r="N74" s="203"/>
      <c r="O74" s="249"/>
      <c r="P74" s="240"/>
      <c r="Q74" s="206">
        <f t="shared" si="28"/>
        <v>0</v>
      </c>
      <c r="R74" s="215">
        <f t="shared" si="29"/>
        <v>0</v>
      </c>
      <c r="S74" s="215">
        <f t="shared" si="30"/>
        <v>0</v>
      </c>
      <c r="T74" s="215">
        <f t="shared" si="31"/>
        <v>0</v>
      </c>
      <c r="U74" s="215">
        <f t="shared" si="32"/>
        <v>0</v>
      </c>
      <c r="V74" s="216">
        <v>120000</v>
      </c>
    </row>
    <row r="75" spans="1:22" ht="21">
      <c r="A75" s="239" t="s">
        <v>91</v>
      </c>
      <c r="B75" s="243"/>
      <c r="C75" s="210"/>
      <c r="D75" s="203"/>
      <c r="E75" s="204">
        <f t="shared" si="26"/>
        <v>0</v>
      </c>
      <c r="F75" s="203"/>
      <c r="G75" s="203"/>
      <c r="H75" s="203"/>
      <c r="I75" s="204">
        <f t="shared" si="22"/>
        <v>0</v>
      </c>
      <c r="J75" s="205"/>
      <c r="K75" s="203"/>
      <c r="L75" s="203"/>
      <c r="M75" s="206">
        <f t="shared" si="27"/>
        <v>0</v>
      </c>
      <c r="N75" s="240"/>
      <c r="O75" s="240"/>
      <c r="P75" s="240"/>
      <c r="Q75" s="206">
        <f t="shared" si="28"/>
        <v>0</v>
      </c>
      <c r="R75" s="215">
        <f t="shared" si="29"/>
        <v>0</v>
      </c>
      <c r="S75" s="215">
        <f t="shared" si="30"/>
        <v>0</v>
      </c>
      <c r="T75" s="215">
        <f t="shared" si="31"/>
        <v>0</v>
      </c>
      <c r="U75" s="215">
        <f t="shared" si="32"/>
        <v>0</v>
      </c>
      <c r="V75" s="216">
        <v>10000</v>
      </c>
    </row>
    <row r="76" spans="1:22" ht="42">
      <c r="A76" s="242" t="s">
        <v>160</v>
      </c>
      <c r="B76" s="231">
        <v>40000</v>
      </c>
      <c r="C76" s="225"/>
      <c r="D76" s="225"/>
      <c r="E76" s="250">
        <f t="shared" si="26"/>
        <v>40000</v>
      </c>
      <c r="F76" s="225"/>
      <c r="G76" s="225"/>
      <c r="H76" s="225"/>
      <c r="I76" s="251">
        <f t="shared" si="22"/>
        <v>0</v>
      </c>
      <c r="J76" s="252"/>
      <c r="K76" s="225"/>
      <c r="L76" s="225"/>
      <c r="M76" s="245">
        <f t="shared" si="27"/>
        <v>0</v>
      </c>
      <c r="N76" s="246"/>
      <c r="O76" s="246"/>
      <c r="P76" s="246"/>
      <c r="Q76" s="245">
        <f t="shared" si="28"/>
        <v>0</v>
      </c>
      <c r="R76" s="230">
        <f t="shared" si="29"/>
        <v>40000</v>
      </c>
      <c r="S76" s="230">
        <f t="shared" si="30"/>
        <v>40000</v>
      </c>
      <c r="T76" s="230">
        <f t="shared" si="31"/>
        <v>40000</v>
      </c>
      <c r="U76" s="230">
        <f t="shared" si="32"/>
        <v>40000</v>
      </c>
      <c r="V76" s="216">
        <v>0</v>
      </c>
    </row>
    <row r="77" spans="1:22" ht="21">
      <c r="A77" s="239" t="s">
        <v>149</v>
      </c>
      <c r="B77" s="231"/>
      <c r="C77" s="203"/>
      <c r="D77" s="203"/>
      <c r="E77" s="250">
        <f>SUM(B77:D77)</f>
        <v>0</v>
      </c>
      <c r="F77" s="225"/>
      <c r="G77" s="225"/>
      <c r="H77" s="225"/>
      <c r="I77" s="251">
        <f>SUM(F77:H77)</f>
        <v>0</v>
      </c>
      <c r="J77" s="252"/>
      <c r="K77" s="225"/>
      <c r="L77" s="225"/>
      <c r="M77" s="245">
        <f>SUM(J77:L77)</f>
        <v>0</v>
      </c>
      <c r="N77" s="246"/>
      <c r="O77" s="246"/>
      <c r="P77" s="246"/>
      <c r="Q77" s="245">
        <f>SUM(N77:P77)</f>
        <v>0</v>
      </c>
      <c r="R77" s="230">
        <f>E77</f>
        <v>0</v>
      </c>
      <c r="S77" s="230">
        <f>E77+I77</f>
        <v>0</v>
      </c>
      <c r="T77" s="230">
        <f>E77+I77+M77</f>
        <v>0</v>
      </c>
      <c r="U77" s="230">
        <f>E77+I77+M77+Q77</f>
        <v>0</v>
      </c>
      <c r="V77" s="216"/>
    </row>
    <row r="78" spans="1:22" ht="21">
      <c r="A78" s="237" t="s">
        <v>66</v>
      </c>
      <c r="B78" s="253">
        <f>SUM(B79:B84)</f>
        <v>150</v>
      </c>
      <c r="C78" s="253">
        <f>SUM(C79:C84)</f>
        <v>0</v>
      </c>
      <c r="D78" s="253">
        <f t="shared" ref="D78:Q78" si="33">SUM(D79:D84)</f>
        <v>0</v>
      </c>
      <c r="E78" s="253">
        <f t="shared" si="33"/>
        <v>150</v>
      </c>
      <c r="F78" s="253">
        <f t="shared" si="33"/>
        <v>0</v>
      </c>
      <c r="G78" s="253">
        <f t="shared" si="33"/>
        <v>0</v>
      </c>
      <c r="H78" s="253">
        <f>SUM(H79:H84)</f>
        <v>0</v>
      </c>
      <c r="I78" s="253">
        <f t="shared" si="33"/>
        <v>0</v>
      </c>
      <c r="J78" s="349">
        <f>SUM(J79:J84)</f>
        <v>0</v>
      </c>
      <c r="K78" s="253">
        <f t="shared" si="33"/>
        <v>0</v>
      </c>
      <c r="L78" s="253">
        <f>SUM(L79:L84)</f>
        <v>0</v>
      </c>
      <c r="M78" s="253">
        <f>SUM(M79:M84)</f>
        <v>0</v>
      </c>
      <c r="N78" s="253">
        <f>SUM(N79:N84)</f>
        <v>0</v>
      </c>
      <c r="O78" s="253">
        <f t="shared" si="33"/>
        <v>0</v>
      </c>
      <c r="P78" s="253">
        <f t="shared" si="33"/>
        <v>0</v>
      </c>
      <c r="Q78" s="253">
        <f t="shared" si="33"/>
        <v>0</v>
      </c>
      <c r="R78" s="215">
        <f>SUM(R79:R84)</f>
        <v>150</v>
      </c>
      <c r="S78" s="215">
        <f>SUM(S79:S84)</f>
        <v>150</v>
      </c>
      <c r="T78" s="215">
        <f>SUM(T79:T84)</f>
        <v>150</v>
      </c>
      <c r="U78" s="215">
        <f>SUM(U79:U84)</f>
        <v>150</v>
      </c>
      <c r="V78" s="220">
        <f>SUM(V79:V85)</f>
        <v>4005000</v>
      </c>
    </row>
    <row r="79" spans="1:22" ht="21">
      <c r="A79" s="239" t="s">
        <v>86</v>
      </c>
      <c r="B79" s="231">
        <f>100+50</f>
        <v>150</v>
      </c>
      <c r="C79" s="203"/>
      <c r="D79" s="203"/>
      <c r="E79" s="204">
        <f t="shared" si="21"/>
        <v>150</v>
      </c>
      <c r="F79" s="203"/>
      <c r="G79" s="203"/>
      <c r="H79" s="203"/>
      <c r="I79" s="204">
        <f t="shared" si="22"/>
        <v>0</v>
      </c>
      <c r="J79" s="205"/>
      <c r="K79" s="203"/>
      <c r="L79" s="203"/>
      <c r="M79" s="206">
        <f>SUM(J79:L79)</f>
        <v>0</v>
      </c>
      <c r="N79" s="240"/>
      <c r="O79" s="240"/>
      <c r="P79" s="240"/>
      <c r="Q79" s="206">
        <f t="shared" si="24"/>
        <v>0</v>
      </c>
      <c r="R79" s="215">
        <f t="shared" ref="R79:R84" si="34">E79</f>
        <v>150</v>
      </c>
      <c r="S79" s="215">
        <f t="shared" ref="S79:S84" si="35">E79+I79</f>
        <v>150</v>
      </c>
      <c r="T79" s="215">
        <f t="shared" ref="T79:T84" si="36">E79+I79+M79</f>
        <v>150</v>
      </c>
      <c r="U79" s="215">
        <f t="shared" ref="U79:U84" si="37">E79+I79+M79+Q79</f>
        <v>150</v>
      </c>
      <c r="V79" s="216">
        <v>5000</v>
      </c>
    </row>
    <row r="80" spans="1:22" ht="21">
      <c r="A80" s="239" t="s">
        <v>87</v>
      </c>
      <c r="B80" s="247"/>
      <c r="C80" s="203"/>
      <c r="D80" s="203"/>
      <c r="E80" s="204">
        <f t="shared" si="21"/>
        <v>0</v>
      </c>
      <c r="F80" s="203"/>
      <c r="G80" s="203"/>
      <c r="H80" s="203"/>
      <c r="I80" s="204">
        <f t="shared" si="22"/>
        <v>0</v>
      </c>
      <c r="J80" s="205"/>
      <c r="K80" s="203"/>
      <c r="L80" s="203"/>
      <c r="M80" s="206">
        <f t="shared" si="23"/>
        <v>0</v>
      </c>
      <c r="N80" s="240"/>
      <c r="O80" s="240"/>
      <c r="P80" s="240"/>
      <c r="Q80" s="206">
        <f t="shared" si="24"/>
        <v>0</v>
      </c>
      <c r="R80" s="215">
        <f t="shared" si="34"/>
        <v>0</v>
      </c>
      <c r="S80" s="215">
        <f t="shared" si="35"/>
        <v>0</v>
      </c>
      <c r="T80" s="215">
        <f t="shared" si="36"/>
        <v>0</v>
      </c>
      <c r="U80" s="215">
        <f t="shared" si="37"/>
        <v>0</v>
      </c>
      <c r="V80" s="216">
        <v>0</v>
      </c>
    </row>
    <row r="81" spans="1:25" ht="21">
      <c r="A81" s="239" t="s">
        <v>109</v>
      </c>
      <c r="B81" s="247"/>
      <c r="C81" s="203"/>
      <c r="D81" s="203"/>
      <c r="E81" s="204">
        <f t="shared" si="21"/>
        <v>0</v>
      </c>
      <c r="F81" s="203"/>
      <c r="G81" s="203"/>
      <c r="H81" s="203"/>
      <c r="I81" s="204">
        <f t="shared" si="22"/>
        <v>0</v>
      </c>
      <c r="J81" s="205"/>
      <c r="K81" s="203"/>
      <c r="L81" s="203"/>
      <c r="M81" s="206">
        <f t="shared" si="23"/>
        <v>0</v>
      </c>
      <c r="N81" s="240"/>
      <c r="O81" s="240"/>
      <c r="P81" s="240"/>
      <c r="Q81" s="206">
        <f t="shared" si="24"/>
        <v>0</v>
      </c>
      <c r="R81" s="215">
        <f t="shared" si="34"/>
        <v>0</v>
      </c>
      <c r="S81" s="215">
        <f t="shared" si="35"/>
        <v>0</v>
      </c>
      <c r="T81" s="215">
        <f t="shared" si="36"/>
        <v>0</v>
      </c>
      <c r="U81" s="215">
        <f t="shared" si="37"/>
        <v>0</v>
      </c>
      <c r="V81" s="216">
        <v>0</v>
      </c>
    </row>
    <row r="82" spans="1:25" ht="21">
      <c r="A82" s="239" t="s">
        <v>122</v>
      </c>
      <c r="B82" s="247"/>
      <c r="C82" s="203"/>
      <c r="D82" s="203"/>
      <c r="E82" s="204">
        <f t="shared" si="21"/>
        <v>0</v>
      </c>
      <c r="F82" s="203"/>
      <c r="G82" s="203"/>
      <c r="H82" s="203"/>
      <c r="I82" s="204">
        <f t="shared" si="22"/>
        <v>0</v>
      </c>
      <c r="J82" s="205"/>
      <c r="K82" s="203"/>
      <c r="L82" s="203"/>
      <c r="M82" s="206">
        <f>SUM(J82:L82)</f>
        <v>0</v>
      </c>
      <c r="N82" s="240"/>
      <c r="O82" s="240"/>
      <c r="P82" s="240"/>
      <c r="Q82" s="206">
        <f>SUM(N82:P82)</f>
        <v>0</v>
      </c>
      <c r="R82" s="215">
        <f t="shared" si="34"/>
        <v>0</v>
      </c>
      <c r="S82" s="215">
        <f t="shared" si="35"/>
        <v>0</v>
      </c>
      <c r="T82" s="215">
        <f t="shared" si="36"/>
        <v>0</v>
      </c>
      <c r="U82" s="215">
        <f t="shared" si="37"/>
        <v>0</v>
      </c>
      <c r="V82" s="216">
        <v>0</v>
      </c>
    </row>
    <row r="83" spans="1:25" s="123" customFormat="1" ht="21">
      <c r="A83" s="239" t="s">
        <v>148</v>
      </c>
      <c r="B83" s="254"/>
      <c r="C83" s="225"/>
      <c r="D83" s="225"/>
      <c r="E83" s="250">
        <f t="shared" si="21"/>
        <v>0</v>
      </c>
      <c r="F83" s="225"/>
      <c r="G83" s="225"/>
      <c r="H83" s="225"/>
      <c r="I83" s="250">
        <f>SUM(F83:H83)</f>
        <v>0</v>
      </c>
      <c r="J83" s="252"/>
      <c r="K83" s="225"/>
      <c r="L83" s="225"/>
      <c r="M83" s="245">
        <f>SUM(J83:L83)</f>
        <v>0</v>
      </c>
      <c r="N83" s="252"/>
      <c r="O83" s="252"/>
      <c r="P83" s="252"/>
      <c r="Q83" s="245">
        <f>SUM(N83:P83)</f>
        <v>0</v>
      </c>
      <c r="R83" s="255">
        <f t="shared" si="34"/>
        <v>0</v>
      </c>
      <c r="S83" s="255">
        <f t="shared" si="35"/>
        <v>0</v>
      </c>
      <c r="T83" s="255">
        <f t="shared" si="36"/>
        <v>0</v>
      </c>
      <c r="U83" s="255">
        <f t="shared" si="37"/>
        <v>0</v>
      </c>
      <c r="V83" s="216">
        <v>4000000</v>
      </c>
    </row>
    <row r="84" spans="1:25" ht="21">
      <c r="A84" s="256" t="s">
        <v>126</v>
      </c>
      <c r="B84" s="231"/>
      <c r="C84" s="203"/>
      <c r="D84" s="203"/>
      <c r="E84" s="250">
        <f t="shared" si="21"/>
        <v>0</v>
      </c>
      <c r="F84" s="203"/>
      <c r="G84" s="203"/>
      <c r="H84" s="203"/>
      <c r="I84" s="204">
        <f t="shared" si="22"/>
        <v>0</v>
      </c>
      <c r="J84" s="205"/>
      <c r="K84" s="203"/>
      <c r="L84" s="203"/>
      <c r="M84" s="206">
        <f>SUM(J84:L84)</f>
        <v>0</v>
      </c>
      <c r="N84" s="240"/>
      <c r="O84" s="240"/>
      <c r="P84" s="240"/>
      <c r="Q84" s="206">
        <f>SUM(N84:P84)</f>
        <v>0</v>
      </c>
      <c r="R84" s="215">
        <f t="shared" si="34"/>
        <v>0</v>
      </c>
      <c r="S84" s="215">
        <f t="shared" si="35"/>
        <v>0</v>
      </c>
      <c r="T84" s="215">
        <f t="shared" si="36"/>
        <v>0</v>
      </c>
      <c r="U84" s="215">
        <f t="shared" si="37"/>
        <v>0</v>
      </c>
      <c r="V84" s="216">
        <v>0</v>
      </c>
    </row>
    <row r="85" spans="1:25" ht="21">
      <c r="A85" s="239"/>
      <c r="B85" s="247"/>
      <c r="C85" s="203"/>
      <c r="D85" s="203"/>
      <c r="E85" s="204"/>
      <c r="F85" s="203"/>
      <c r="G85" s="203"/>
      <c r="H85" s="203"/>
      <c r="I85" s="204"/>
      <c r="J85" s="205"/>
      <c r="K85" s="203"/>
      <c r="L85" s="203"/>
      <c r="M85" s="206"/>
      <c r="N85" s="240"/>
      <c r="O85" s="240"/>
      <c r="P85" s="240"/>
      <c r="Q85" s="206"/>
      <c r="R85" s="215"/>
      <c r="S85" s="215"/>
      <c r="T85" s="215"/>
      <c r="U85" s="215"/>
      <c r="V85" s="216"/>
    </row>
    <row r="86" spans="1:25" ht="21">
      <c r="A86" s="237" t="s">
        <v>67</v>
      </c>
      <c r="B86" s="253">
        <f t="shared" ref="B86:M86" si="38">SUM(B87:B89)</f>
        <v>0</v>
      </c>
      <c r="C86" s="253">
        <f t="shared" si="38"/>
        <v>0</v>
      </c>
      <c r="D86" s="253">
        <f t="shared" si="38"/>
        <v>0</v>
      </c>
      <c r="E86" s="253">
        <f t="shared" si="38"/>
        <v>0</v>
      </c>
      <c r="F86" s="253">
        <f t="shared" si="38"/>
        <v>0</v>
      </c>
      <c r="G86" s="253">
        <f t="shared" si="38"/>
        <v>0</v>
      </c>
      <c r="H86" s="253">
        <f t="shared" si="38"/>
        <v>0</v>
      </c>
      <c r="I86" s="253">
        <f t="shared" si="38"/>
        <v>0</v>
      </c>
      <c r="J86" s="349">
        <f t="shared" si="38"/>
        <v>0</v>
      </c>
      <c r="K86" s="253">
        <f t="shared" si="38"/>
        <v>0</v>
      </c>
      <c r="L86" s="253">
        <f t="shared" si="38"/>
        <v>0</v>
      </c>
      <c r="M86" s="257">
        <f t="shared" si="38"/>
        <v>0</v>
      </c>
      <c r="N86" s="219"/>
      <c r="O86" s="219"/>
      <c r="P86" s="219"/>
      <c r="Q86" s="257">
        <f>SUM(Q87:Q89)</f>
        <v>0</v>
      </c>
      <c r="R86" s="215">
        <f>E86</f>
        <v>0</v>
      </c>
      <c r="S86" s="215">
        <f>E86+I86</f>
        <v>0</v>
      </c>
      <c r="T86" s="215">
        <f>E86+I86+M86</f>
        <v>0</v>
      </c>
      <c r="U86" s="215">
        <f>E86+I86+M86+Q86</f>
        <v>0</v>
      </c>
      <c r="V86" s="220">
        <f>SUM(V87:V89)</f>
        <v>2465000</v>
      </c>
    </row>
    <row r="87" spans="1:25" ht="21">
      <c r="A87" s="239" t="s">
        <v>2</v>
      </c>
      <c r="B87" s="231"/>
      <c r="C87" s="203"/>
      <c r="D87" s="203"/>
      <c r="E87" s="204">
        <f t="shared" si="21"/>
        <v>0</v>
      </c>
      <c r="F87" s="210"/>
      <c r="G87" s="203"/>
      <c r="H87" s="203"/>
      <c r="I87" s="204">
        <f t="shared" si="22"/>
        <v>0</v>
      </c>
      <c r="J87" s="205"/>
      <c r="K87" s="203"/>
      <c r="L87" s="203"/>
      <c r="M87" s="206">
        <f>SUM(J87:L87)</f>
        <v>0</v>
      </c>
      <c r="N87" s="240"/>
      <c r="O87" s="240"/>
      <c r="P87" s="240"/>
      <c r="Q87" s="206">
        <f t="shared" si="24"/>
        <v>0</v>
      </c>
      <c r="R87" s="215">
        <f>E87</f>
        <v>0</v>
      </c>
      <c r="S87" s="215">
        <f>E87+I87</f>
        <v>0</v>
      </c>
      <c r="T87" s="215">
        <f>E87+I87+M87</f>
        <v>0</v>
      </c>
      <c r="U87" s="215">
        <f>E87+I87+M87+Q87</f>
        <v>0</v>
      </c>
      <c r="V87" s="216">
        <v>170000</v>
      </c>
      <c r="Y87">
        <f>7500000+1000000</f>
        <v>8500000</v>
      </c>
    </row>
    <row r="88" spans="1:25" ht="21">
      <c r="A88" s="239" t="s">
        <v>1</v>
      </c>
      <c r="B88" s="231"/>
      <c r="C88" s="203"/>
      <c r="D88" s="203"/>
      <c r="E88" s="204">
        <f t="shared" si="21"/>
        <v>0</v>
      </c>
      <c r="F88" s="203"/>
      <c r="G88" s="203"/>
      <c r="H88" s="203"/>
      <c r="I88" s="204">
        <f t="shared" si="22"/>
        <v>0</v>
      </c>
      <c r="J88" s="205"/>
      <c r="K88" s="203"/>
      <c r="L88" s="203"/>
      <c r="M88" s="206">
        <f t="shared" si="23"/>
        <v>0</v>
      </c>
      <c r="N88" s="240"/>
      <c r="O88" s="240"/>
      <c r="P88" s="240"/>
      <c r="Q88" s="206">
        <f t="shared" si="24"/>
        <v>0</v>
      </c>
      <c r="R88" s="215">
        <f>E88</f>
        <v>0</v>
      </c>
      <c r="S88" s="215">
        <f>E88+I88</f>
        <v>0</v>
      </c>
      <c r="T88" s="215">
        <f>E88+I88+M88</f>
        <v>0</v>
      </c>
      <c r="U88" s="215">
        <f>E88+I88+M88+Q88</f>
        <v>0</v>
      </c>
      <c r="V88" s="216">
        <v>595000</v>
      </c>
      <c r="Y88">
        <f>0.02*Y87</f>
        <v>170000</v>
      </c>
    </row>
    <row r="89" spans="1:25" ht="21">
      <c r="A89" s="239" t="s">
        <v>0</v>
      </c>
      <c r="B89" s="231"/>
      <c r="C89" s="203"/>
      <c r="D89" s="203"/>
      <c r="E89" s="204">
        <f t="shared" si="21"/>
        <v>0</v>
      </c>
      <c r="F89" s="203"/>
      <c r="G89" s="203"/>
      <c r="H89" s="203"/>
      <c r="I89" s="204">
        <f t="shared" si="22"/>
        <v>0</v>
      </c>
      <c r="J89" s="205"/>
      <c r="K89" s="203"/>
      <c r="L89" s="203"/>
      <c r="M89" s="206">
        <f t="shared" si="23"/>
        <v>0</v>
      </c>
      <c r="N89" s="240"/>
      <c r="O89" s="240"/>
      <c r="P89" s="240"/>
      <c r="Q89" s="206">
        <f t="shared" si="24"/>
        <v>0</v>
      </c>
      <c r="R89" s="215">
        <f>E89</f>
        <v>0</v>
      </c>
      <c r="S89" s="215">
        <f>E89+I89</f>
        <v>0</v>
      </c>
      <c r="T89" s="215">
        <f>E89+I89+M89</f>
        <v>0</v>
      </c>
      <c r="U89" s="215">
        <f>E89+I89+M89+Q89</f>
        <v>0</v>
      </c>
      <c r="V89" s="216">
        <v>1700000</v>
      </c>
    </row>
    <row r="90" spans="1:25" ht="21">
      <c r="A90" s="239"/>
      <c r="B90" s="231"/>
      <c r="C90" s="203"/>
      <c r="D90" s="203"/>
      <c r="E90" s="204"/>
      <c r="F90" s="203"/>
      <c r="G90" s="203"/>
      <c r="H90" s="203"/>
      <c r="I90" s="204"/>
      <c r="J90" s="205"/>
      <c r="K90" s="203"/>
      <c r="L90" s="203"/>
      <c r="M90" s="206"/>
      <c r="N90" s="240"/>
      <c r="O90" s="240"/>
      <c r="P90" s="240"/>
      <c r="Q90" s="206"/>
      <c r="R90" s="215"/>
      <c r="S90" s="215"/>
      <c r="T90" s="215"/>
      <c r="U90" s="215"/>
      <c r="V90" s="216"/>
    </row>
    <row r="91" spans="1:25" ht="21">
      <c r="A91" s="237" t="s">
        <v>100</v>
      </c>
      <c r="B91" s="244">
        <f>SUM(B92:B93)</f>
        <v>0</v>
      </c>
      <c r="C91" s="244">
        <f t="shared" ref="C91:Q91" si="39">SUM(C92:C93)</f>
        <v>0</v>
      </c>
      <c r="D91" s="244">
        <f t="shared" si="39"/>
        <v>0</v>
      </c>
      <c r="E91" s="244">
        <f t="shared" si="39"/>
        <v>0</v>
      </c>
      <c r="F91" s="244">
        <f t="shared" si="39"/>
        <v>0</v>
      </c>
      <c r="G91" s="244">
        <f t="shared" si="39"/>
        <v>0</v>
      </c>
      <c r="H91" s="244">
        <f>SUM(H92:H93)</f>
        <v>0</v>
      </c>
      <c r="I91" s="244">
        <f t="shared" si="39"/>
        <v>0</v>
      </c>
      <c r="J91" s="206">
        <f t="shared" si="39"/>
        <v>0</v>
      </c>
      <c r="K91" s="244">
        <f t="shared" si="39"/>
        <v>0</v>
      </c>
      <c r="L91" s="244">
        <f t="shared" si="39"/>
        <v>0</v>
      </c>
      <c r="M91" s="206">
        <f t="shared" si="39"/>
        <v>0</v>
      </c>
      <c r="N91" s="206">
        <f t="shared" si="39"/>
        <v>0</v>
      </c>
      <c r="O91" s="206">
        <f t="shared" si="39"/>
        <v>0</v>
      </c>
      <c r="P91" s="206">
        <f t="shared" si="39"/>
        <v>0</v>
      </c>
      <c r="Q91" s="206">
        <f t="shared" si="39"/>
        <v>0</v>
      </c>
      <c r="R91" s="215"/>
      <c r="S91" s="215"/>
      <c r="T91" s="215"/>
      <c r="U91" s="215"/>
      <c r="V91" s="220">
        <f>SUM(V92:V93)</f>
        <v>0</v>
      </c>
    </row>
    <row r="92" spans="1:25" ht="21">
      <c r="A92" s="239" t="s">
        <v>153</v>
      </c>
      <c r="B92" s="231"/>
      <c r="C92" s="203"/>
      <c r="D92" s="203"/>
      <c r="E92" s="204">
        <f>SUM(B92:D92)</f>
        <v>0</v>
      </c>
      <c r="F92" s="203"/>
      <c r="G92" s="203"/>
      <c r="H92" s="203"/>
      <c r="I92" s="204">
        <v>0</v>
      </c>
      <c r="J92" s="205"/>
      <c r="K92" s="203"/>
      <c r="L92" s="203"/>
      <c r="M92" s="206">
        <f>SUM(J92:L92)</f>
        <v>0</v>
      </c>
      <c r="N92" s="240"/>
      <c r="O92" s="240"/>
      <c r="P92" s="240"/>
      <c r="Q92" s="206">
        <f>SUM(N92:P92)</f>
        <v>0</v>
      </c>
      <c r="R92" s="215"/>
      <c r="S92" s="215"/>
      <c r="T92" s="215"/>
      <c r="U92" s="215"/>
      <c r="V92" s="216"/>
    </row>
    <row r="93" spans="1:25" ht="21">
      <c r="A93" s="239" t="s">
        <v>98</v>
      </c>
      <c r="B93" s="231"/>
      <c r="C93" s="203"/>
      <c r="D93" s="203"/>
      <c r="E93" s="204">
        <f>SUM(B93:D93)</f>
        <v>0</v>
      </c>
      <c r="F93" s="203"/>
      <c r="G93" s="203"/>
      <c r="H93" s="203"/>
      <c r="I93" s="204">
        <f>SUM(F93:H93)</f>
        <v>0</v>
      </c>
      <c r="J93" s="205"/>
      <c r="K93" s="203"/>
      <c r="L93" s="203"/>
      <c r="M93" s="206">
        <f>SUM(J93:L93)</f>
        <v>0</v>
      </c>
      <c r="N93" s="240">
        <v>0</v>
      </c>
      <c r="O93" s="240"/>
      <c r="P93" s="240"/>
      <c r="Q93" s="206">
        <f>SUM(N93:P93)</f>
        <v>0</v>
      </c>
      <c r="R93" s="215"/>
      <c r="S93" s="215"/>
      <c r="T93" s="215"/>
      <c r="U93" s="215"/>
      <c r="V93" s="216">
        <v>0</v>
      </c>
    </row>
    <row r="94" spans="1:25" ht="21">
      <c r="A94" s="239"/>
      <c r="B94" s="231"/>
      <c r="C94" s="203"/>
      <c r="D94" s="203"/>
      <c r="E94" s="204"/>
      <c r="F94" s="203"/>
      <c r="G94" s="203"/>
      <c r="H94" s="203"/>
      <c r="I94" s="204"/>
      <c r="J94" s="205"/>
      <c r="K94" s="203"/>
      <c r="L94" s="203"/>
      <c r="M94" s="206"/>
      <c r="N94" s="240"/>
      <c r="O94" s="240"/>
      <c r="P94" s="240"/>
      <c r="Q94" s="206"/>
      <c r="R94" s="215"/>
      <c r="S94" s="215"/>
      <c r="T94" s="215"/>
      <c r="U94" s="215"/>
      <c r="V94" s="216"/>
    </row>
    <row r="95" spans="1:25" ht="21">
      <c r="A95" s="237" t="s">
        <v>33</v>
      </c>
      <c r="B95" s="253">
        <f>B26+B55+B60+B78+B86+B91</f>
        <v>336915.06</v>
      </c>
      <c r="C95" s="253">
        <f t="shared" ref="C95:T95" si="40">C26+C55+C60+C78+C86+C91</f>
        <v>0</v>
      </c>
      <c r="D95" s="253">
        <f>D26+D55+D60+D78+D86+D91</f>
        <v>0</v>
      </c>
      <c r="E95" s="253">
        <f>E26+E55+E60+E78+E86+E91</f>
        <v>336915.06</v>
      </c>
      <c r="F95" s="253">
        <f t="shared" si="40"/>
        <v>0</v>
      </c>
      <c r="G95" s="253">
        <f>G26+G55+G60+G78+G86+G91</f>
        <v>0</v>
      </c>
      <c r="H95" s="253">
        <f t="shared" si="40"/>
        <v>0</v>
      </c>
      <c r="I95" s="253">
        <f>I26+I55+I60+I78+I86+I91</f>
        <v>0</v>
      </c>
      <c r="J95" s="257">
        <f>J26+J55+J60+J78+J86+J91</f>
        <v>0</v>
      </c>
      <c r="K95" s="253">
        <f>K26+K55+K60+K78+K86+K91</f>
        <v>0</v>
      </c>
      <c r="L95" s="253">
        <f t="shared" si="40"/>
        <v>0</v>
      </c>
      <c r="M95" s="257">
        <f t="shared" si="40"/>
        <v>0</v>
      </c>
      <c r="N95" s="257">
        <f>N26+N55+N60+N78+N86+N91</f>
        <v>0</v>
      </c>
      <c r="O95" s="257">
        <f t="shared" si="40"/>
        <v>0</v>
      </c>
      <c r="P95" s="257">
        <f t="shared" si="40"/>
        <v>0</v>
      </c>
      <c r="Q95" s="257">
        <f t="shared" si="40"/>
        <v>0</v>
      </c>
      <c r="R95" s="215">
        <f>R26+R55+R60+R78+R86+R91</f>
        <v>336915.06</v>
      </c>
      <c r="S95" s="215">
        <f t="shared" si="40"/>
        <v>336915.06</v>
      </c>
      <c r="T95" s="215">
        <f t="shared" si="40"/>
        <v>336915.06</v>
      </c>
      <c r="U95" s="215">
        <f>U26+U55+U60+U78+U86+U91</f>
        <v>336915.06</v>
      </c>
      <c r="V95" s="220">
        <f>V91+V86+V78+V60+V55+V26</f>
        <v>11887322.300000001</v>
      </c>
    </row>
    <row r="96" spans="1:25" s="9" customFormat="1" ht="21">
      <c r="A96" s="237" t="s">
        <v>125</v>
      </c>
      <c r="B96" s="244">
        <f>SUM(B97:B104)</f>
        <v>1480584.92</v>
      </c>
      <c r="C96" s="244">
        <f t="shared" ref="C96:Q96" si="41">SUM(C97:C104)</f>
        <v>0</v>
      </c>
      <c r="D96" s="244">
        <f t="shared" si="41"/>
        <v>0</v>
      </c>
      <c r="E96" s="244">
        <f>D96</f>
        <v>0</v>
      </c>
      <c r="F96" s="244">
        <f t="shared" si="41"/>
        <v>0</v>
      </c>
      <c r="G96" s="244">
        <f t="shared" si="41"/>
        <v>0</v>
      </c>
      <c r="H96" s="244">
        <f t="shared" si="41"/>
        <v>0</v>
      </c>
      <c r="I96" s="244">
        <f t="shared" si="41"/>
        <v>0</v>
      </c>
      <c r="J96" s="206">
        <f>SUM(J97:J104)</f>
        <v>0</v>
      </c>
      <c r="K96" s="10">
        <f t="shared" si="41"/>
        <v>0</v>
      </c>
      <c r="L96" s="10">
        <f>SUM(L97:L104)</f>
        <v>0</v>
      </c>
      <c r="M96" s="31">
        <f t="shared" si="41"/>
        <v>0</v>
      </c>
      <c r="N96" s="31">
        <f>SUM(N97:N104)</f>
        <v>0</v>
      </c>
      <c r="O96" s="31">
        <f t="shared" si="41"/>
        <v>0</v>
      </c>
      <c r="P96" s="31">
        <f t="shared" si="41"/>
        <v>0</v>
      </c>
      <c r="Q96" s="31">
        <f t="shared" si="41"/>
        <v>0</v>
      </c>
      <c r="R96" s="215">
        <f t="shared" ref="R96:R104" si="42">E96</f>
        <v>0</v>
      </c>
      <c r="S96" s="215">
        <f>I96</f>
        <v>0</v>
      </c>
      <c r="T96" s="215">
        <f>M96</f>
        <v>0</v>
      </c>
      <c r="U96" s="43">
        <f t="shared" ref="U96:U104" si="43">P96</f>
        <v>0</v>
      </c>
      <c r="V96" s="201"/>
    </row>
    <row r="97" spans="1:24" ht="21">
      <c r="A97" s="239" t="s">
        <v>74</v>
      </c>
      <c r="B97" s="231">
        <v>773640.84</v>
      </c>
      <c r="C97" s="203"/>
      <c r="D97" s="231"/>
      <c r="E97" s="244">
        <f t="shared" ref="E97:E104" si="44">D97</f>
        <v>0</v>
      </c>
      <c r="F97" s="203"/>
      <c r="G97" s="203"/>
      <c r="H97" s="203"/>
      <c r="I97" s="204">
        <f t="shared" ref="I97:I104" si="45">H97</f>
        <v>0</v>
      </c>
      <c r="J97" s="107"/>
      <c r="K97" s="5"/>
      <c r="L97" s="5"/>
      <c r="M97" s="31">
        <f t="shared" ref="M97:M103" si="46">L97</f>
        <v>0</v>
      </c>
      <c r="N97" s="107"/>
      <c r="O97" s="107"/>
      <c r="P97" s="107"/>
      <c r="Q97" s="31">
        <f t="shared" ref="Q97:Q104" si="47">P97</f>
        <v>0</v>
      </c>
      <c r="R97" s="215">
        <f t="shared" si="42"/>
        <v>0</v>
      </c>
      <c r="S97" s="215">
        <f>I97</f>
        <v>0</v>
      </c>
      <c r="T97" s="215">
        <f t="shared" ref="T97:T104" si="48">M97</f>
        <v>0</v>
      </c>
      <c r="U97" s="43">
        <f t="shared" si="43"/>
        <v>0</v>
      </c>
      <c r="V97" s="200"/>
    </row>
    <row r="98" spans="1:24" ht="21">
      <c r="A98" s="239" t="s">
        <v>141</v>
      </c>
      <c r="B98" s="231">
        <v>100000</v>
      </c>
      <c r="C98" s="203"/>
      <c r="D98" s="231"/>
      <c r="E98" s="244">
        <f t="shared" si="44"/>
        <v>0</v>
      </c>
      <c r="F98" s="203"/>
      <c r="G98" s="203"/>
      <c r="H98" s="203"/>
      <c r="I98" s="204">
        <f t="shared" si="45"/>
        <v>0</v>
      </c>
      <c r="J98" s="107"/>
      <c r="K98" s="5"/>
      <c r="L98" s="5"/>
      <c r="M98" s="31">
        <f t="shared" si="46"/>
        <v>0</v>
      </c>
      <c r="N98" s="107"/>
      <c r="O98" s="107"/>
      <c r="P98" s="107"/>
      <c r="Q98" s="31">
        <f t="shared" si="47"/>
        <v>0</v>
      </c>
      <c r="R98" s="215">
        <f t="shared" si="42"/>
        <v>0</v>
      </c>
      <c r="S98" s="215">
        <f>F98</f>
        <v>0</v>
      </c>
      <c r="T98" s="215">
        <f t="shared" si="48"/>
        <v>0</v>
      </c>
      <c r="U98" s="43">
        <f t="shared" si="43"/>
        <v>0</v>
      </c>
      <c r="V98" s="200"/>
    </row>
    <row r="99" spans="1:24" ht="21">
      <c r="A99" s="239" t="s">
        <v>140</v>
      </c>
      <c r="B99" s="231">
        <v>-17000</v>
      </c>
      <c r="C99" s="203"/>
      <c r="D99" s="231"/>
      <c r="E99" s="244">
        <f t="shared" si="44"/>
        <v>0</v>
      </c>
      <c r="F99" s="203"/>
      <c r="G99" s="203"/>
      <c r="H99" s="203"/>
      <c r="I99" s="204">
        <f t="shared" si="45"/>
        <v>0</v>
      </c>
      <c r="J99" s="107"/>
      <c r="K99" s="5"/>
      <c r="L99" s="5"/>
      <c r="M99" s="31">
        <f t="shared" si="46"/>
        <v>0</v>
      </c>
      <c r="N99" s="107"/>
      <c r="O99" s="107"/>
      <c r="P99" s="107"/>
      <c r="Q99" s="31">
        <f t="shared" si="47"/>
        <v>0</v>
      </c>
      <c r="R99" s="215">
        <f t="shared" si="42"/>
        <v>0</v>
      </c>
      <c r="S99" s="215">
        <f>F99</f>
        <v>0</v>
      </c>
      <c r="T99" s="215">
        <f t="shared" si="48"/>
        <v>0</v>
      </c>
      <c r="U99" s="43">
        <f t="shared" si="43"/>
        <v>0</v>
      </c>
      <c r="V99" s="200"/>
    </row>
    <row r="100" spans="1:24" ht="21">
      <c r="A100" s="239" t="s">
        <v>6</v>
      </c>
      <c r="B100" s="231">
        <f>32278.33+3050+17000</f>
        <v>52328.33</v>
      </c>
      <c r="C100" s="203"/>
      <c r="D100" s="231"/>
      <c r="E100" s="244">
        <f t="shared" si="44"/>
        <v>0</v>
      </c>
      <c r="F100" s="203"/>
      <c r="G100" s="203"/>
      <c r="H100" s="203"/>
      <c r="I100" s="204">
        <f t="shared" si="45"/>
        <v>0</v>
      </c>
      <c r="J100" s="107"/>
      <c r="K100" s="5"/>
      <c r="L100" s="5"/>
      <c r="M100" s="31">
        <f t="shared" si="46"/>
        <v>0</v>
      </c>
      <c r="N100" s="107"/>
      <c r="O100" s="107"/>
      <c r="P100" s="107"/>
      <c r="Q100" s="31">
        <f t="shared" si="47"/>
        <v>0</v>
      </c>
      <c r="R100" s="215">
        <f t="shared" si="42"/>
        <v>0</v>
      </c>
      <c r="S100" s="215">
        <f>I100</f>
        <v>0</v>
      </c>
      <c r="T100" s="215">
        <f t="shared" si="48"/>
        <v>0</v>
      </c>
      <c r="U100" s="43">
        <f t="shared" si="43"/>
        <v>0</v>
      </c>
      <c r="V100" s="200"/>
    </row>
    <row r="101" spans="1:24" ht="21">
      <c r="A101" s="239" t="s">
        <v>32</v>
      </c>
      <c r="B101" s="231">
        <v>571425.75</v>
      </c>
      <c r="C101" s="203"/>
      <c r="D101" s="231"/>
      <c r="E101" s="244">
        <f t="shared" si="44"/>
        <v>0</v>
      </c>
      <c r="F101" s="203"/>
      <c r="G101" s="203"/>
      <c r="H101" s="203"/>
      <c r="I101" s="204">
        <f t="shared" si="45"/>
        <v>0</v>
      </c>
      <c r="J101" s="107"/>
      <c r="K101" s="5"/>
      <c r="L101" s="5"/>
      <c r="M101" s="31">
        <f t="shared" si="46"/>
        <v>0</v>
      </c>
      <c r="N101" s="107"/>
      <c r="O101" s="107"/>
      <c r="P101" s="107"/>
      <c r="Q101" s="31">
        <f t="shared" si="47"/>
        <v>0</v>
      </c>
      <c r="R101" s="215">
        <f t="shared" si="42"/>
        <v>0</v>
      </c>
      <c r="S101" s="215">
        <f>I101</f>
        <v>0</v>
      </c>
      <c r="T101" s="215">
        <f t="shared" si="48"/>
        <v>0</v>
      </c>
      <c r="U101" s="43">
        <f t="shared" si="43"/>
        <v>0</v>
      </c>
      <c r="V101" s="200"/>
    </row>
    <row r="102" spans="1:24" ht="21">
      <c r="A102" s="239" t="s">
        <v>142</v>
      </c>
      <c r="B102" s="231">
        <v>0</v>
      </c>
      <c r="C102" s="203"/>
      <c r="D102" s="231"/>
      <c r="E102" s="244">
        <f t="shared" si="44"/>
        <v>0</v>
      </c>
      <c r="F102" s="203"/>
      <c r="G102" s="203"/>
      <c r="H102" s="203"/>
      <c r="I102" s="204">
        <f t="shared" si="45"/>
        <v>0</v>
      </c>
      <c r="J102" s="107"/>
      <c r="K102" s="5"/>
      <c r="L102" s="5"/>
      <c r="M102" s="31">
        <f t="shared" si="46"/>
        <v>0</v>
      </c>
      <c r="N102" s="107"/>
      <c r="O102" s="107"/>
      <c r="P102" s="107"/>
      <c r="Q102" s="31">
        <f t="shared" si="47"/>
        <v>0</v>
      </c>
      <c r="R102" s="215">
        <f t="shared" si="42"/>
        <v>0</v>
      </c>
      <c r="S102" s="215">
        <f>F102</f>
        <v>0</v>
      </c>
      <c r="T102" s="215">
        <f t="shared" si="48"/>
        <v>0</v>
      </c>
      <c r="U102" s="43">
        <f t="shared" si="43"/>
        <v>0</v>
      </c>
      <c r="V102" s="200"/>
    </row>
    <row r="103" spans="1:24" ht="21">
      <c r="A103" s="239" t="s">
        <v>143</v>
      </c>
      <c r="B103" s="231">
        <v>0</v>
      </c>
      <c r="C103" s="203"/>
      <c r="D103" s="231"/>
      <c r="E103" s="244">
        <f t="shared" si="44"/>
        <v>0</v>
      </c>
      <c r="F103" s="203"/>
      <c r="G103" s="203"/>
      <c r="H103" s="203"/>
      <c r="I103" s="204">
        <f t="shared" si="45"/>
        <v>0</v>
      </c>
      <c r="J103" s="107"/>
      <c r="K103" s="5"/>
      <c r="L103" s="5"/>
      <c r="M103" s="31">
        <f t="shared" si="46"/>
        <v>0</v>
      </c>
      <c r="N103" s="107"/>
      <c r="O103" s="107"/>
      <c r="P103" s="107"/>
      <c r="Q103" s="31">
        <f t="shared" si="47"/>
        <v>0</v>
      </c>
      <c r="R103" s="215">
        <f t="shared" si="42"/>
        <v>0</v>
      </c>
      <c r="S103" s="215">
        <f>F103</f>
        <v>0</v>
      </c>
      <c r="T103" s="215">
        <f t="shared" si="48"/>
        <v>0</v>
      </c>
      <c r="U103" s="43">
        <f t="shared" si="43"/>
        <v>0</v>
      </c>
      <c r="V103" s="200"/>
    </row>
    <row r="104" spans="1:24" ht="21">
      <c r="A104" s="239" t="s">
        <v>123</v>
      </c>
      <c r="B104" s="231">
        <v>190</v>
      </c>
      <c r="C104" s="203"/>
      <c r="D104" s="231"/>
      <c r="E104" s="244">
        <f t="shared" si="44"/>
        <v>0</v>
      </c>
      <c r="F104" s="203"/>
      <c r="G104" s="203"/>
      <c r="H104" s="203"/>
      <c r="I104" s="204">
        <f t="shared" si="45"/>
        <v>0</v>
      </c>
      <c r="J104" s="107"/>
      <c r="K104" s="5"/>
      <c r="L104" s="5"/>
      <c r="M104" s="31">
        <f>L104</f>
        <v>0</v>
      </c>
      <c r="N104" s="107"/>
      <c r="O104" s="107"/>
      <c r="P104" s="107"/>
      <c r="Q104" s="31">
        <f t="shared" si="47"/>
        <v>0</v>
      </c>
      <c r="R104" s="215">
        <f t="shared" si="42"/>
        <v>0</v>
      </c>
      <c r="S104" s="215">
        <f>I104</f>
        <v>0</v>
      </c>
      <c r="T104" s="215">
        <f t="shared" si="48"/>
        <v>0</v>
      </c>
      <c r="U104" s="43">
        <f t="shared" si="43"/>
        <v>0</v>
      </c>
      <c r="V104" s="200"/>
    </row>
    <row r="105" spans="1:24" ht="21">
      <c r="A105" s="262" t="s">
        <v>34</v>
      </c>
      <c r="B105" s="263"/>
      <c r="C105" s="263"/>
      <c r="D105" s="263"/>
      <c r="E105" s="263"/>
      <c r="F105" s="263"/>
      <c r="G105" s="263"/>
      <c r="H105" s="263"/>
      <c r="I105" s="263"/>
      <c r="J105" s="4"/>
      <c r="K105" s="1"/>
      <c r="L105" s="1"/>
      <c r="M105" s="4"/>
      <c r="N105" s="107"/>
      <c r="O105" s="4"/>
      <c r="P105" s="4"/>
      <c r="Q105" s="4"/>
      <c r="R105" s="215"/>
      <c r="S105" s="215"/>
      <c r="T105" s="215"/>
      <c r="U105" s="43"/>
      <c r="V105" s="200"/>
      <c r="X105" s="3"/>
    </row>
    <row r="106" spans="1:24" ht="21">
      <c r="A106" s="264" t="s">
        <v>162</v>
      </c>
      <c r="B106" s="265">
        <f t="shared" ref="B106:Q106" si="49">B24</f>
        <v>1809699.9800000002</v>
      </c>
      <c r="C106" s="265">
        <f t="shared" si="49"/>
        <v>1480584.92</v>
      </c>
      <c r="D106" s="265">
        <f t="shared" si="49"/>
        <v>0</v>
      </c>
      <c r="E106" s="250">
        <f t="shared" si="49"/>
        <v>1809699.9800000002</v>
      </c>
      <c r="F106" s="265">
        <f t="shared" si="49"/>
        <v>0</v>
      </c>
      <c r="G106" s="265">
        <f t="shared" si="49"/>
        <v>0</v>
      </c>
      <c r="H106" s="265">
        <f t="shared" si="49"/>
        <v>0</v>
      </c>
      <c r="I106" s="266">
        <f t="shared" si="49"/>
        <v>0</v>
      </c>
      <c r="J106" s="57">
        <f t="shared" si="49"/>
        <v>0</v>
      </c>
      <c r="K106" s="342">
        <f t="shared" si="49"/>
        <v>0</v>
      </c>
      <c r="L106" s="342">
        <f t="shared" si="49"/>
        <v>0</v>
      </c>
      <c r="M106" s="57">
        <f t="shared" si="49"/>
        <v>0</v>
      </c>
      <c r="N106" s="47"/>
      <c r="O106" s="47"/>
      <c r="P106" s="47"/>
      <c r="Q106" s="57">
        <f t="shared" si="49"/>
        <v>0</v>
      </c>
      <c r="R106" s="230">
        <f>R24</f>
        <v>1809699.9800000002</v>
      </c>
      <c r="S106" s="230">
        <f>S24</f>
        <v>1809699.9800000002</v>
      </c>
      <c r="T106" s="230">
        <f>T24</f>
        <v>1809699.9800000002</v>
      </c>
      <c r="U106" s="109">
        <f>U24</f>
        <v>1809699.9800000002</v>
      </c>
      <c r="V106" s="200">
        <f>V24</f>
        <v>14354370.76</v>
      </c>
    </row>
    <row r="107" spans="1:24" ht="21">
      <c r="A107" s="242" t="s">
        <v>35</v>
      </c>
      <c r="B107" s="240">
        <f>B79+B82+B83</f>
        <v>150</v>
      </c>
      <c r="C107" s="240">
        <f>C79+C82+C83</f>
        <v>0</v>
      </c>
      <c r="D107" s="240">
        <f>D79+D82+D83</f>
        <v>0</v>
      </c>
      <c r="E107" s="204">
        <f>SUM(B107:D107)</f>
        <v>150</v>
      </c>
      <c r="F107" s="240">
        <f>F79+F82+F83</f>
        <v>0</v>
      </c>
      <c r="G107" s="240">
        <f>G79+G82+G83</f>
        <v>0</v>
      </c>
      <c r="H107" s="240">
        <f>H79+H82+H83</f>
        <v>0</v>
      </c>
      <c r="I107" s="267">
        <f>SUM(F107:H107)</f>
        <v>0</v>
      </c>
      <c r="J107" s="240">
        <f>J79+J82+J83</f>
        <v>0</v>
      </c>
      <c r="K107" s="240">
        <f>K79+K82+K83</f>
        <v>0</v>
      </c>
      <c r="L107" s="240">
        <f>L79+L82+L83</f>
        <v>0</v>
      </c>
      <c r="M107" s="8">
        <f>SUM(J107:L107)</f>
        <v>0</v>
      </c>
      <c r="N107" s="4">
        <f>N79+N82+N83</f>
        <v>0</v>
      </c>
      <c r="O107" s="4">
        <f>O79+O82+O83</f>
        <v>0</v>
      </c>
      <c r="P107" s="4">
        <f>P79+P82+P83</f>
        <v>0</v>
      </c>
      <c r="Q107" s="7">
        <f>Q79+Q82+Q83</f>
        <v>0</v>
      </c>
      <c r="R107" s="215">
        <f>E107</f>
        <v>150</v>
      </c>
      <c r="S107" s="215">
        <f>E107+I107</f>
        <v>150</v>
      </c>
      <c r="T107" s="215">
        <f>E107+I107+M107</f>
        <v>150</v>
      </c>
      <c r="U107" s="43">
        <f>E107+I107+M107+Q107</f>
        <v>150</v>
      </c>
      <c r="V107" s="200">
        <f>V78</f>
        <v>4005000</v>
      </c>
    </row>
    <row r="108" spans="1:24" ht="42">
      <c r="A108" s="242" t="s">
        <v>36</v>
      </c>
      <c r="B108" s="268">
        <f>B95-B79-B80-B82</f>
        <v>336765.06</v>
      </c>
      <c r="C108" s="268">
        <f>C95-C79-C80-C82</f>
        <v>0</v>
      </c>
      <c r="D108" s="268">
        <f>D95-D79-D80--D81-D82</f>
        <v>0</v>
      </c>
      <c r="E108" s="250">
        <f>SUM(B108:D108)</f>
        <v>336765.06</v>
      </c>
      <c r="F108" s="268">
        <f>F95-F79-F80--F81-F82</f>
        <v>0</v>
      </c>
      <c r="G108" s="268">
        <f>G95-G79-G80--G81-G82</f>
        <v>0</v>
      </c>
      <c r="H108" s="268">
        <f>H95-H79-H80--H81-H82</f>
        <v>0</v>
      </c>
      <c r="I108" s="269">
        <f>SUM(F108:H108)</f>
        <v>0</v>
      </c>
      <c r="J108" s="102">
        <f>J95-J79-J83</f>
        <v>0</v>
      </c>
      <c r="K108" s="102">
        <f>K95-K79-K83</f>
        <v>0</v>
      </c>
      <c r="L108" s="102">
        <f>L95-L79-L83</f>
        <v>0</v>
      </c>
      <c r="M108" s="103">
        <f>SUM(J108:L108)</f>
        <v>0</v>
      </c>
      <c r="N108" s="102">
        <f>N95-N79-N83</f>
        <v>0</v>
      </c>
      <c r="O108" s="102">
        <f>O95-O79-O80</f>
        <v>0</v>
      </c>
      <c r="P108" s="47">
        <f>P95-P107</f>
        <v>0</v>
      </c>
      <c r="Q108" s="57">
        <f>Q95-Q107</f>
        <v>0</v>
      </c>
      <c r="R108" s="230">
        <f>E108</f>
        <v>336765.06</v>
      </c>
      <c r="S108" s="230">
        <f>E108+I108</f>
        <v>336765.06</v>
      </c>
      <c r="T108" s="230">
        <f>E108+I108+M108</f>
        <v>336765.06</v>
      </c>
      <c r="U108" s="109">
        <f>E108+I108+M108+Q108-800000-456000</f>
        <v>-919234.94</v>
      </c>
      <c r="V108" s="200">
        <f>V95-V107</f>
        <v>7882322.3000000007</v>
      </c>
    </row>
    <row r="109" spans="1:24" ht="21">
      <c r="A109" s="264" t="s">
        <v>71</v>
      </c>
      <c r="B109" s="270">
        <f>B107+B108</f>
        <v>336915.06</v>
      </c>
      <c r="C109" s="270">
        <f>C107+C108</f>
        <v>0</v>
      </c>
      <c r="D109" s="270">
        <f>D107+D108</f>
        <v>0</v>
      </c>
      <c r="E109" s="204">
        <f>E107+E108</f>
        <v>336915.06</v>
      </c>
      <c r="F109" s="270">
        <f t="shared" ref="F109:M109" si="50">F107+F108</f>
        <v>0</v>
      </c>
      <c r="G109" s="270">
        <f t="shared" si="50"/>
        <v>0</v>
      </c>
      <c r="H109" s="270">
        <f t="shared" si="50"/>
        <v>0</v>
      </c>
      <c r="I109" s="271">
        <f t="shared" si="50"/>
        <v>0</v>
      </c>
      <c r="J109" s="37">
        <f t="shared" si="50"/>
        <v>0</v>
      </c>
      <c r="K109" s="6">
        <f t="shared" si="50"/>
        <v>0</v>
      </c>
      <c r="L109" s="6">
        <f t="shared" si="50"/>
        <v>0</v>
      </c>
      <c r="M109" s="37">
        <f t="shared" si="50"/>
        <v>0</v>
      </c>
      <c r="N109" s="4">
        <f>N107+N108</f>
        <v>0</v>
      </c>
      <c r="O109" s="4">
        <f>O107+O108</f>
        <v>0</v>
      </c>
      <c r="P109" s="4">
        <f>P107+P108</f>
        <v>0</v>
      </c>
      <c r="Q109" s="7">
        <f>Q107+Q108</f>
        <v>0</v>
      </c>
      <c r="R109" s="215">
        <f>E109</f>
        <v>336915.06</v>
      </c>
      <c r="S109" s="215">
        <f>E109+I109</f>
        <v>336915.06</v>
      </c>
      <c r="T109" s="215">
        <f>E109+I109+M109</f>
        <v>336915.06</v>
      </c>
      <c r="U109" s="43">
        <f>E109+I109+M109+Q109-800000-456000</f>
        <v>-919084.94</v>
      </c>
      <c r="V109" s="200">
        <f>V95</f>
        <v>11887322.300000001</v>
      </c>
    </row>
    <row r="110" spans="1:24" ht="21">
      <c r="A110" s="272" t="s">
        <v>29</v>
      </c>
      <c r="B110" s="273">
        <f>B106-B96-B109</f>
        <v>-7799.999999999709</v>
      </c>
      <c r="C110" s="273">
        <f t="shared" ref="C110:S110" si="51">C106-C96-C109</f>
        <v>1480584.92</v>
      </c>
      <c r="D110" s="273">
        <f t="shared" si="51"/>
        <v>0</v>
      </c>
      <c r="E110" s="274">
        <f t="shared" si="51"/>
        <v>1472784.9200000002</v>
      </c>
      <c r="F110" s="273">
        <f t="shared" si="51"/>
        <v>0</v>
      </c>
      <c r="G110" s="273">
        <f>G106-G96-G109</f>
        <v>0</v>
      </c>
      <c r="H110" s="273">
        <f t="shared" si="51"/>
        <v>0</v>
      </c>
      <c r="I110" s="275">
        <f t="shared" si="51"/>
        <v>0</v>
      </c>
      <c r="J110" s="51">
        <f t="shared" si="51"/>
        <v>0</v>
      </c>
      <c r="K110" s="36">
        <f t="shared" si="51"/>
        <v>0</v>
      </c>
      <c r="L110" s="36">
        <f t="shared" si="51"/>
        <v>0</v>
      </c>
      <c r="M110" s="64">
        <f t="shared" si="51"/>
        <v>0</v>
      </c>
      <c r="N110" s="51">
        <f t="shared" si="51"/>
        <v>0</v>
      </c>
      <c r="O110" s="51">
        <f t="shared" si="51"/>
        <v>0</v>
      </c>
      <c r="P110" s="51">
        <f t="shared" si="51"/>
        <v>0</v>
      </c>
      <c r="Q110" s="64">
        <f t="shared" si="51"/>
        <v>0</v>
      </c>
      <c r="R110" s="64">
        <f t="shared" si="51"/>
        <v>1472784.9200000002</v>
      </c>
      <c r="S110" s="64">
        <f t="shared" si="51"/>
        <v>1472784.9200000002</v>
      </c>
      <c r="T110" s="64">
        <f>T106-T96-T109</f>
        <v>1472784.9200000002</v>
      </c>
      <c r="U110" s="64">
        <f>U106-U96-U109</f>
        <v>2728784.92</v>
      </c>
      <c r="V110" s="200"/>
    </row>
    <row r="111" spans="1:24">
      <c r="A111" s="22"/>
      <c r="B111" s="78"/>
      <c r="C111" s="78"/>
      <c r="D111" s="1"/>
      <c r="E111" s="1"/>
      <c r="F111" s="4"/>
      <c r="G111" s="1"/>
      <c r="H111" s="1"/>
      <c r="I111" s="4"/>
      <c r="J111" s="4"/>
      <c r="K111" s="1"/>
      <c r="L111" s="1"/>
      <c r="M111" s="4"/>
      <c r="N111" s="4"/>
      <c r="O111" s="4"/>
      <c r="P111" s="4"/>
      <c r="Q111" s="7"/>
      <c r="R111" s="4">
        <v>-238175</v>
      </c>
      <c r="S111" s="4">
        <v>-289665</v>
      </c>
      <c r="T111" s="4">
        <v>-456000</v>
      </c>
      <c r="U111" s="4"/>
      <c r="V111" s="200"/>
    </row>
    <row r="112" spans="1:24">
      <c r="A112" s="179"/>
      <c r="B112" s="180"/>
      <c r="C112" s="181"/>
      <c r="D112" s="181"/>
      <c r="F112" s="60"/>
      <c r="I112" s="2"/>
      <c r="K112" s="60"/>
      <c r="N112" s="3"/>
      <c r="O112" s="3"/>
      <c r="Q112" s="2"/>
      <c r="S112" s="11"/>
    </row>
    <row r="113" spans="1:21">
      <c r="A113" s="21"/>
      <c r="B113" s="182"/>
      <c r="C113" s="183"/>
      <c r="D113" s="181"/>
      <c r="E113" s="60"/>
      <c r="H113" s="60"/>
      <c r="I113" s="60"/>
      <c r="K113" s="60"/>
      <c r="L113" s="60"/>
      <c r="N113" s="3"/>
      <c r="O113" s="3"/>
      <c r="P113" s="2">
        <f>O100-52029.38</f>
        <v>-52029.38</v>
      </c>
      <c r="U113" s="3"/>
    </row>
    <row r="114" spans="1:21">
      <c r="A114" s="21"/>
      <c r="B114" s="183"/>
      <c r="C114" s="180"/>
      <c r="D114" s="180"/>
      <c r="N114" s="3"/>
      <c r="O114" s="3"/>
      <c r="P114" s="2">
        <f>P110-P113</f>
        <v>52029.38</v>
      </c>
      <c r="Q114" s="2"/>
      <c r="U114" s="3"/>
    </row>
    <row r="115" spans="1:21">
      <c r="D115" s="60"/>
      <c r="N115" s="3"/>
      <c r="O115" s="3"/>
    </row>
    <row r="116" spans="1:21">
      <c r="N116" s="3"/>
      <c r="O116" s="3"/>
      <c r="U116" s="2"/>
    </row>
    <row r="117" spans="1:21" ht="21">
      <c r="H117" s="203">
        <v>116175</v>
      </c>
      <c r="L117">
        <f>8320+18400+2740+8560</f>
        <v>38020</v>
      </c>
      <c r="N117" s="3"/>
      <c r="O117" s="4">
        <f>88455+100000+50000</f>
        <v>238455</v>
      </c>
      <c r="Q117">
        <f>15000+10000+5000+20000+30000+20300+4200+2000+7000+6000+4000+1500</f>
        <v>125000</v>
      </c>
      <c r="U117" s="2"/>
    </row>
    <row r="118" spans="1:21">
      <c r="L118">
        <f>62000+18030+3230+8100+500</f>
        <v>91860</v>
      </c>
      <c r="N118" s="3"/>
      <c r="O118" s="3"/>
      <c r="Q118">
        <f>30000+7000+5000+22200+16000+2000+1500+5000+7000+15000+4500+300</f>
        <v>115500</v>
      </c>
    </row>
    <row r="119" spans="1:21">
      <c r="N119" s="3"/>
      <c r="O119" s="3">
        <f>O117-O110</f>
        <v>238455</v>
      </c>
      <c r="Q119">
        <f>22200+16000+2000+1500+5000</f>
        <v>46700</v>
      </c>
    </row>
    <row r="120" spans="1:21">
      <c r="B120" s="3">
        <f>5000+9000+2000+15000+2000+3000</f>
        <v>36000</v>
      </c>
      <c r="N120" s="3"/>
      <c r="O120" s="3"/>
      <c r="Q120">
        <f>6500+2700+10000+2200+10000+20000+8000</f>
        <v>59400</v>
      </c>
    </row>
    <row r="121" spans="1:21">
      <c r="B121" s="3">
        <f>9000+3000+3000+2500</f>
        <v>17500</v>
      </c>
      <c r="N121" s="3"/>
      <c r="O121" s="3"/>
      <c r="Q121">
        <v>-59400</v>
      </c>
    </row>
    <row r="122" spans="1:21">
      <c r="B122" s="3"/>
      <c r="N122" s="3"/>
      <c r="O122" s="3">
        <f>88455+150000</f>
        <v>238455</v>
      </c>
      <c r="Q122">
        <f>5000+5000+5000+1800+6000+25000+7500+6000</f>
        <v>61300</v>
      </c>
    </row>
    <row r="123" spans="1:21">
      <c r="A123" s="23"/>
      <c r="B123" s="194"/>
      <c r="C123" s="11"/>
      <c r="N123" s="3"/>
      <c r="O123" s="3"/>
    </row>
    <row r="124" spans="1:21">
      <c r="A124" s="23"/>
      <c r="B124" s="194"/>
      <c r="C124" s="11"/>
      <c r="N124" s="3"/>
      <c r="O124" s="3"/>
    </row>
    <row r="125" spans="1:21">
      <c r="A125" s="23"/>
      <c r="B125" s="194"/>
      <c r="C125" s="11"/>
      <c r="D125" s="3"/>
      <c r="F125" s="3"/>
      <c r="N125" s="3"/>
      <c r="O125" s="3"/>
    </row>
    <row r="126" spans="1:21">
      <c r="A126" s="23"/>
      <c r="B126" s="194"/>
      <c r="C126" s="11"/>
      <c r="D126" s="3">
        <f>45883.73+4100</f>
        <v>49983.73</v>
      </c>
      <c r="N126" s="3"/>
      <c r="O126" s="3"/>
    </row>
    <row r="127" spans="1:21">
      <c r="A127" s="23"/>
      <c r="B127" s="194"/>
      <c r="C127" s="11"/>
      <c r="D127" s="3">
        <f>D126+1950</f>
        <v>51933.73</v>
      </c>
      <c r="N127" s="3"/>
      <c r="O127" s="3"/>
    </row>
    <row r="128" spans="1:21">
      <c r="A128" s="23"/>
      <c r="B128" s="194"/>
      <c r="C128" s="11"/>
      <c r="D128" s="3">
        <f>3470+D127</f>
        <v>55403.73</v>
      </c>
      <c r="N128" s="3"/>
      <c r="O128" s="3"/>
    </row>
    <row r="129" spans="1:15">
      <c r="A129" s="23">
        <f>5000*358</f>
        <v>1790000</v>
      </c>
      <c r="B129" s="17"/>
      <c r="C129" s="11"/>
      <c r="D129" s="3">
        <f>4320+D128</f>
        <v>59723.73</v>
      </c>
      <c r="H129" s="11"/>
      <c r="N129" s="3"/>
      <c r="O129" s="3"/>
    </row>
    <row r="130" spans="1:15">
      <c r="A130" s="23"/>
      <c r="B130" s="17"/>
      <c r="C130" s="11"/>
      <c r="D130" s="3">
        <f>3210+D129</f>
        <v>62933.73</v>
      </c>
      <c r="F130" s="2"/>
      <c r="G130" s="3"/>
      <c r="H130" s="2"/>
      <c r="N130" s="3"/>
      <c r="O130" s="3"/>
    </row>
    <row r="131" spans="1:15">
      <c r="A131" s="23"/>
      <c r="B131" s="17"/>
      <c r="C131" s="11"/>
      <c r="D131" s="2">
        <f>86.7+D130</f>
        <v>63020.43</v>
      </c>
      <c r="F131" s="3"/>
      <c r="H131" s="11"/>
      <c r="N131" s="3"/>
      <c r="O131" s="3"/>
    </row>
    <row r="132" spans="1:15">
      <c r="A132" s="23"/>
      <c r="B132" s="17"/>
      <c r="C132" s="11"/>
      <c r="D132" s="2">
        <f>-8.67+D131</f>
        <v>63011.76</v>
      </c>
      <c r="N132" s="3"/>
      <c r="O132" s="3"/>
    </row>
    <row r="133" spans="1:15">
      <c r="A133" s="23"/>
      <c r="B133" s="17"/>
      <c r="C133" s="11"/>
      <c r="D133" s="2">
        <f>D132-75</f>
        <v>62936.76</v>
      </c>
      <c r="N133" s="3"/>
      <c r="O133" s="3"/>
    </row>
    <row r="134" spans="1:15">
      <c r="A134" s="23">
        <f>2000+3000+23750+3500+17000+15000+7000+7000+7000+2000+7000+7000+2000+25000+6000+2500+3000+5000+3200</f>
        <v>147950</v>
      </c>
      <c r="B134" s="17"/>
      <c r="C134" s="11"/>
      <c r="N134" s="3"/>
      <c r="O134" s="3"/>
    </row>
    <row r="135" spans="1:15">
      <c r="A135" s="23"/>
      <c r="B135" s="17"/>
      <c r="C135" s="11"/>
      <c r="N135" s="3"/>
      <c r="O135" s="3"/>
    </row>
    <row r="136" spans="1:15">
      <c r="A136" s="23"/>
      <c r="B136" s="17"/>
      <c r="C136" s="11"/>
      <c r="N136" s="3"/>
      <c r="O136" s="3"/>
    </row>
    <row r="137" spans="1:15">
      <c r="A137" s="23"/>
      <c r="B137" s="17"/>
      <c r="C137" s="11"/>
      <c r="F137" s="3"/>
      <c r="G137" s="2"/>
      <c r="N137" s="3"/>
      <c r="O137" s="2"/>
    </row>
    <row r="138" spans="1:15">
      <c r="A138" s="23"/>
      <c r="B138" s="17"/>
      <c r="C138" s="11"/>
      <c r="F138" s="2"/>
      <c r="N138" s="3"/>
    </row>
    <row r="139" spans="1:15">
      <c r="A139" s="23"/>
      <c r="B139" s="17"/>
      <c r="C139" s="11"/>
      <c r="N139" s="3"/>
    </row>
    <row r="140" spans="1:15">
      <c r="A140" s="23"/>
      <c r="B140" s="17"/>
      <c r="C140" s="11"/>
      <c r="N140" s="3"/>
    </row>
    <row r="141" spans="1:15">
      <c r="A141" s="23"/>
      <c r="B141" s="17"/>
      <c r="C141" s="11"/>
      <c r="N141" s="3"/>
    </row>
    <row r="142" spans="1:15">
      <c r="A142" s="23"/>
      <c r="B142" s="17"/>
      <c r="C142" s="11"/>
      <c r="N142" s="2"/>
    </row>
    <row r="143" spans="1:15">
      <c r="A143" s="23"/>
      <c r="B143" s="17"/>
      <c r="C143" s="11"/>
      <c r="O143" s="2"/>
    </row>
    <row r="144" spans="1:15">
      <c r="A144" s="23"/>
      <c r="B144" s="17"/>
      <c r="C144" s="11"/>
      <c r="N144" s="2"/>
      <c r="O144" s="2"/>
    </row>
    <row r="145" spans="1:15">
      <c r="A145" s="23"/>
      <c r="B145" s="17"/>
      <c r="C145" s="11"/>
      <c r="N145" s="11"/>
      <c r="O145" s="2"/>
    </row>
    <row r="146" spans="1:15">
      <c r="A146" s="23"/>
      <c r="B146" s="11"/>
      <c r="C146" s="11"/>
      <c r="N146" s="2"/>
      <c r="O146" s="11"/>
    </row>
    <row r="147" spans="1:15">
      <c r="A147" s="23"/>
      <c r="B147" s="11"/>
      <c r="C147" s="11"/>
    </row>
    <row r="148" spans="1:15">
      <c r="B148" s="17"/>
      <c r="C148" s="11"/>
    </row>
    <row r="149" spans="1:15">
      <c r="C149" s="11"/>
    </row>
    <row r="150" spans="1:15">
      <c r="C150" s="11"/>
    </row>
    <row r="151" spans="1:15">
      <c r="C151" s="11"/>
    </row>
    <row r="152" spans="1:15">
      <c r="C152" s="11"/>
    </row>
    <row r="153" spans="1:15">
      <c r="C153" s="1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56"/>
  <sheetViews>
    <sheetView zoomScale="90" zoomScaleNormal="90" zoomScaleSheetLayoutView="80" workbookViewId="0">
      <pane xSplit="2" ySplit="5" topLeftCell="F79" activePane="bottomRight" state="frozen"/>
      <selection pane="topRight" activeCell="B1" sqref="B1"/>
      <selection pane="bottomLeft" activeCell="A6" sqref="A6"/>
      <selection pane="bottomRight" activeCell="I86" sqref="I86"/>
    </sheetView>
  </sheetViews>
  <sheetFormatPr defaultRowHeight="15.75"/>
  <cols>
    <col min="1" max="1" width="9.140625" style="367"/>
    <col min="2" max="2" width="42" style="677" customWidth="1"/>
    <col min="3" max="3" width="22.140625" style="367" customWidth="1"/>
    <col min="4" max="4" width="19.5703125" style="367" customWidth="1"/>
    <col min="5" max="5" width="19.5703125" style="679" customWidth="1"/>
    <col min="6" max="6" width="20.5703125" style="367" customWidth="1"/>
    <col min="7" max="7" width="19.5703125" style="367" customWidth="1"/>
    <col min="8" max="8" width="19.42578125" style="367" customWidth="1"/>
    <col min="9" max="9" width="18.85546875" style="367" customWidth="1"/>
    <col min="10" max="10" width="20.42578125" style="367" customWidth="1"/>
    <col min="11" max="11" width="24.140625" style="369" customWidth="1"/>
    <col min="12" max="12" width="19.85546875" style="367" customWidth="1"/>
    <col min="13" max="13" width="24.140625" style="367" customWidth="1"/>
    <col min="14" max="14" width="21" style="369" customWidth="1"/>
    <col min="15" max="15" width="22" style="367" customWidth="1"/>
    <col min="16" max="16" width="18.85546875" style="367" customWidth="1"/>
    <col min="17" max="17" width="20.85546875" style="367" customWidth="1"/>
    <col min="18" max="18" width="20.5703125" style="367" customWidth="1"/>
    <col min="19" max="19" width="21.28515625" style="367" customWidth="1"/>
    <col min="20" max="20" width="19.85546875" style="367" customWidth="1"/>
    <col min="21" max="21" width="21.140625" style="367" customWidth="1"/>
    <col min="22" max="22" width="24" style="367" customWidth="1"/>
    <col min="23" max="23" width="26" style="563" customWidth="1"/>
    <col min="24" max="24" width="9.140625" style="367" customWidth="1"/>
    <col min="25" max="25" width="10.5703125" style="367" customWidth="1"/>
    <col min="26" max="26" width="33.42578125" style="367" customWidth="1"/>
    <col min="27" max="16384" width="9.140625" style="367"/>
  </cols>
  <sheetData>
    <row r="1" spans="1:26">
      <c r="B1" s="559"/>
      <c r="C1" s="369">
        <f>E22+33000+5000-89000-197830-299000-100000-80000</f>
        <v>-139450.31000000006</v>
      </c>
      <c r="D1" s="560">
        <v>0.03</v>
      </c>
      <c r="E1" s="561">
        <f>D1*(SUM($H$15:$I$18))</f>
        <v>50835.21</v>
      </c>
      <c r="F1" s="369" t="s">
        <v>207</v>
      </c>
      <c r="G1" s="562"/>
      <c r="I1" s="369"/>
      <c r="L1" s="440"/>
      <c r="O1" s="369"/>
      <c r="P1" s="367" t="s">
        <v>191</v>
      </c>
      <c r="Q1" s="440">
        <f>SUM($O$15:$O$18)*0.03</f>
        <v>0</v>
      </c>
      <c r="R1" s="440">
        <f>SUM($P$15:$P$18)*0.03</f>
        <v>0</v>
      </c>
      <c r="S1" s="440"/>
      <c r="T1" s="440"/>
    </row>
    <row r="2" spans="1:26">
      <c r="B2" s="564">
        <f>4340+50000+10000+24000+10000+11000+4300+3000+60000</f>
        <v>176640</v>
      </c>
      <c r="C2" s="369"/>
      <c r="D2" s="560">
        <v>7.0000000000000007E-2</v>
      </c>
      <c r="E2" s="561">
        <f>D2*(SUM($H$15:$I$18))</f>
        <v>118615.49</v>
      </c>
      <c r="F2" s="440" t="s">
        <v>208</v>
      </c>
      <c r="G2" s="440">
        <f>57627.29+F100</f>
        <v>230504.19</v>
      </c>
      <c r="H2" s="440">
        <f>F104+15000+25000-4</f>
        <v>215564.19</v>
      </c>
      <c r="I2" s="440">
        <f>212833.9-F100</f>
        <v>39957</v>
      </c>
      <c r="J2" s="565">
        <f>40*0.075</f>
        <v>3</v>
      </c>
      <c r="K2" s="562"/>
      <c r="L2" s="562"/>
      <c r="M2" s="562"/>
      <c r="O2" s="369"/>
      <c r="P2" s="440" t="s">
        <v>192</v>
      </c>
      <c r="Q2" s="369">
        <f>SUM($O$15:$O$18)*0.07</f>
        <v>0</v>
      </c>
      <c r="R2" s="369">
        <f>SUM($P$15:$P$18)*0.07</f>
        <v>0</v>
      </c>
      <c r="S2" s="440"/>
      <c r="T2" s="440"/>
    </row>
    <row r="3" spans="1:26">
      <c r="B3" s="564">
        <f>206485+39440+63685+89375+4820+100000+4820+15000+5410+55000+3700</f>
        <v>587735</v>
      </c>
      <c r="C3" s="369"/>
      <c r="D3" s="560">
        <v>0.2</v>
      </c>
      <c r="E3" s="561">
        <f>D3*(SUM($H$15:$I$18))</f>
        <v>338901.4</v>
      </c>
      <c r="F3" s="369" t="s">
        <v>209</v>
      </c>
      <c r="G3" s="440">
        <f>212833.9-F100</f>
        <v>39957</v>
      </c>
      <c r="H3" s="440"/>
      <c r="I3" s="440">
        <f>I2-15000-25000</f>
        <v>-43</v>
      </c>
      <c r="K3" s="566"/>
      <c r="L3" s="566"/>
      <c r="M3" s="566"/>
      <c r="N3" s="567"/>
      <c r="O3" s="440"/>
      <c r="P3" s="367" t="s">
        <v>193</v>
      </c>
      <c r="Q3" s="440">
        <f>(SUM($O$15:$O$18)*0.2)</f>
        <v>0</v>
      </c>
      <c r="R3" s="440">
        <f>SUM($P$15:$P$18)*0.2</f>
        <v>0</v>
      </c>
      <c r="S3" s="440"/>
      <c r="T3" s="440"/>
    </row>
    <row r="4" spans="1:26">
      <c r="B4" s="564">
        <f>-I19</f>
        <v>-1265100.3700000001</v>
      </c>
      <c r="C4" s="691"/>
      <c r="D4" s="367">
        <f>0.3*1694507</f>
        <v>508352.1</v>
      </c>
      <c r="E4" s="561">
        <f>SUM(E1:E3)</f>
        <v>508352.10000000003</v>
      </c>
      <c r="F4" s="369"/>
      <c r="G4" s="440"/>
      <c r="H4" s="440"/>
      <c r="I4" s="440">
        <f>-(178500+192293+100000+13500+71500+21152.61+49356.09+141017.4+48500+99398.13+41878+18464+222000)</f>
        <v>-1197559.23</v>
      </c>
      <c r="K4" s="568"/>
      <c r="L4" s="569"/>
      <c r="M4" s="570"/>
      <c r="O4" s="369"/>
      <c r="P4" s="440"/>
      <c r="T4" s="440"/>
    </row>
    <row r="5" spans="1:26">
      <c r="A5" s="367">
        <v>5</v>
      </c>
      <c r="B5" s="571"/>
      <c r="C5" s="572" t="s">
        <v>24</v>
      </c>
      <c r="D5" s="572" t="s">
        <v>25</v>
      </c>
      <c r="E5" s="573" t="s">
        <v>26</v>
      </c>
      <c r="F5" s="574" t="s">
        <v>11</v>
      </c>
      <c r="G5" s="572" t="s">
        <v>12</v>
      </c>
      <c r="H5" s="575" t="s">
        <v>13</v>
      </c>
      <c r="I5" s="572" t="s">
        <v>14</v>
      </c>
      <c r="J5" s="574" t="s">
        <v>15</v>
      </c>
      <c r="K5" s="576" t="s">
        <v>16</v>
      </c>
      <c r="L5" s="572" t="s">
        <v>17</v>
      </c>
      <c r="M5" s="572" t="s">
        <v>18</v>
      </c>
      <c r="N5" s="577" t="s">
        <v>19</v>
      </c>
      <c r="O5" s="572" t="s">
        <v>20</v>
      </c>
      <c r="P5" s="572" t="s">
        <v>21</v>
      </c>
      <c r="Q5" s="572" t="s">
        <v>22</v>
      </c>
      <c r="R5" s="574" t="s">
        <v>23</v>
      </c>
      <c r="S5" s="578" t="s">
        <v>39</v>
      </c>
      <c r="T5" s="578" t="s">
        <v>37</v>
      </c>
      <c r="U5" s="578" t="s">
        <v>27</v>
      </c>
      <c r="V5" s="578" t="s">
        <v>28</v>
      </c>
      <c r="W5" s="579" t="s">
        <v>144</v>
      </c>
    </row>
    <row r="6" spans="1:26">
      <c r="A6" s="367">
        <v>6</v>
      </c>
      <c r="B6" s="580" t="s">
        <v>10</v>
      </c>
      <c r="C6" s="581">
        <v>32.06</v>
      </c>
      <c r="D6" s="582">
        <v>59.98</v>
      </c>
      <c r="E6" s="583">
        <v>93.12</v>
      </c>
      <c r="F6" s="582">
        <f>SUM(C6:E6)</f>
        <v>185.16</v>
      </c>
      <c r="G6" s="584">
        <v>105.94</v>
      </c>
      <c r="H6" s="584">
        <v>134.22999999999999</v>
      </c>
      <c r="I6" s="584">
        <v>103.37</v>
      </c>
      <c r="J6" s="584">
        <f>SUM(G6:I6)</f>
        <v>343.53999999999996</v>
      </c>
      <c r="K6" s="584"/>
      <c r="L6" s="584"/>
      <c r="M6" s="584"/>
      <c r="N6" s="584">
        <f>SUM(K6:M6)</f>
        <v>0</v>
      </c>
      <c r="O6" s="584"/>
      <c r="P6" s="585"/>
      <c r="Q6" s="585"/>
      <c r="R6" s="585">
        <f>SUM(O6:Q6)</f>
        <v>0</v>
      </c>
      <c r="S6" s="586">
        <f>F6</f>
        <v>185.16</v>
      </c>
      <c r="T6" s="586">
        <f>F6+J6</f>
        <v>528.69999999999993</v>
      </c>
      <c r="U6" s="586">
        <f>F6+J6+N6</f>
        <v>528.69999999999993</v>
      </c>
      <c r="V6" s="586">
        <f>F6+J6+N6+R6</f>
        <v>528.69999999999993</v>
      </c>
      <c r="W6" s="587">
        <v>600</v>
      </c>
      <c r="Z6" s="369">
        <v>869.18999999999994</v>
      </c>
    </row>
    <row r="7" spans="1:26">
      <c r="A7" s="367">
        <v>7</v>
      </c>
      <c r="B7" s="580" t="s">
        <v>3</v>
      </c>
      <c r="C7" s="581">
        <f>5850+2850+4400+4070</f>
        <v>17170</v>
      </c>
      <c r="D7" s="588">
        <f>9460+2540+2480+8050</f>
        <v>22530</v>
      </c>
      <c r="E7" s="589">
        <f>5225+3460+3195+5690+4845</f>
        <v>22415</v>
      </c>
      <c r="F7" s="582">
        <f>SUM(C7:E7)</f>
        <v>62115</v>
      </c>
      <c r="G7" s="576">
        <f>4510+2180+9570+3280</f>
        <v>19540</v>
      </c>
      <c r="H7" s="590">
        <f>3500+4740+4100+4615</f>
        <v>16955</v>
      </c>
      <c r="I7" s="590">
        <f>4820+4820+5410+3700+4410</f>
        <v>23160</v>
      </c>
      <c r="J7" s="584">
        <f t="shared" ref="J7:J18" si="0">SUM(G7:I7)</f>
        <v>59655</v>
      </c>
      <c r="K7" s="590"/>
      <c r="L7" s="585"/>
      <c r="M7" s="585"/>
      <c r="N7" s="584">
        <f t="shared" ref="N7:N17" si="1">SUM(K7:M7)</f>
        <v>0</v>
      </c>
      <c r="O7" s="585"/>
      <c r="P7" s="585"/>
      <c r="Q7" s="585"/>
      <c r="R7" s="585">
        <f t="shared" ref="R7:R17" si="2">SUM(O7:Q7)</f>
        <v>0</v>
      </c>
      <c r="S7" s="586">
        <f t="shared" ref="S7:S17" si="3">F7</f>
        <v>62115</v>
      </c>
      <c r="T7" s="586">
        <f t="shared" ref="T7:T17" si="4">F7+J7</f>
        <v>121770</v>
      </c>
      <c r="U7" s="586">
        <f t="shared" ref="U7:U17" si="5">F7+J7+N7</f>
        <v>121770</v>
      </c>
      <c r="V7" s="586">
        <f t="shared" ref="V7:V17" si="6">F7+J7+N7+R7</f>
        <v>121770</v>
      </c>
      <c r="W7" s="587">
        <v>150000</v>
      </c>
      <c r="Z7" s="369">
        <v>128265</v>
      </c>
    </row>
    <row r="8" spans="1:26">
      <c r="A8" s="367">
        <v>8</v>
      </c>
      <c r="B8" s="580" t="s">
        <v>42</v>
      </c>
      <c r="C8" s="581">
        <f>3000+5000</f>
        <v>8000</v>
      </c>
      <c r="D8" s="588">
        <f>4000+(2600*8)+5000</f>
        <v>29800</v>
      </c>
      <c r="E8" s="591">
        <f>5000</f>
        <v>5000</v>
      </c>
      <c r="F8" s="582">
        <f t="shared" ref="F8:F18" si="7">SUM(C8:E8)</f>
        <v>42800</v>
      </c>
      <c r="G8" s="576">
        <f>10000+500000</f>
        <v>510000</v>
      </c>
      <c r="H8" s="590">
        <f>20000+51000+50000</f>
        <v>121000</v>
      </c>
      <c r="I8" s="590">
        <f>100000+100000+15000+55000</f>
        <v>270000</v>
      </c>
      <c r="J8" s="584">
        <f t="shared" si="0"/>
        <v>901000</v>
      </c>
      <c r="K8" s="590"/>
      <c r="L8" s="585"/>
      <c r="M8" s="585"/>
      <c r="N8" s="584">
        <f t="shared" si="1"/>
        <v>0</v>
      </c>
      <c r="O8" s="585"/>
      <c r="P8" s="585"/>
      <c r="Q8" s="585"/>
      <c r="R8" s="585">
        <f t="shared" si="2"/>
        <v>0</v>
      </c>
      <c r="S8" s="586">
        <f t="shared" si="3"/>
        <v>42800</v>
      </c>
      <c r="T8" s="586">
        <f t="shared" si="4"/>
        <v>943800</v>
      </c>
      <c r="U8" s="586">
        <f t="shared" si="5"/>
        <v>943800</v>
      </c>
      <c r="V8" s="586">
        <f t="shared" si="6"/>
        <v>943800</v>
      </c>
      <c r="W8" s="587">
        <v>2000000</v>
      </c>
      <c r="Z8" s="369">
        <v>1076206.57</v>
      </c>
    </row>
    <row r="9" spans="1:26">
      <c r="A9" s="367">
        <v>9</v>
      </c>
      <c r="B9" s="580" t="s">
        <v>166</v>
      </c>
      <c r="C9" s="581"/>
      <c r="D9" s="588">
        <f>200000+65000+100000+10000</f>
        <v>375000</v>
      </c>
      <c r="E9" s="591">
        <f>33000+10000</f>
        <v>43000</v>
      </c>
      <c r="F9" s="582">
        <f t="shared" si="7"/>
        <v>418000</v>
      </c>
      <c r="G9" s="576"/>
      <c r="H9" s="590"/>
      <c r="I9" s="590"/>
      <c r="J9" s="584">
        <f t="shared" si="0"/>
        <v>0</v>
      </c>
      <c r="K9" s="590"/>
      <c r="L9" s="585"/>
      <c r="M9" s="585"/>
      <c r="N9" s="584">
        <f t="shared" si="1"/>
        <v>0</v>
      </c>
      <c r="O9" s="585"/>
      <c r="P9" s="585"/>
      <c r="Q9" s="585"/>
      <c r="R9" s="585">
        <f t="shared" si="2"/>
        <v>0</v>
      </c>
      <c r="S9" s="586">
        <f t="shared" si="3"/>
        <v>418000</v>
      </c>
      <c r="T9" s="586">
        <f t="shared" si="4"/>
        <v>418000</v>
      </c>
      <c r="U9" s="586">
        <f t="shared" si="5"/>
        <v>418000</v>
      </c>
      <c r="V9" s="586">
        <f t="shared" si="6"/>
        <v>418000</v>
      </c>
      <c r="W9" s="587">
        <v>100000</v>
      </c>
      <c r="Z9" s="369">
        <v>138000</v>
      </c>
    </row>
    <row r="10" spans="1:26" s="593" customFormat="1">
      <c r="A10" s="367">
        <v>10</v>
      </c>
      <c r="B10" s="580" t="s">
        <v>110</v>
      </c>
      <c r="C10" s="588"/>
      <c r="D10" s="588"/>
      <c r="E10" s="591"/>
      <c r="F10" s="582">
        <f t="shared" si="7"/>
        <v>0</v>
      </c>
      <c r="G10" s="577"/>
      <c r="H10" s="590"/>
      <c r="I10" s="590"/>
      <c r="J10" s="584">
        <f t="shared" si="0"/>
        <v>0</v>
      </c>
      <c r="K10" s="590"/>
      <c r="L10" s="585"/>
      <c r="M10" s="585"/>
      <c r="N10" s="584">
        <f>SUM(K10:M10)</f>
        <v>0</v>
      </c>
      <c r="O10" s="585"/>
      <c r="P10" s="585"/>
      <c r="Q10" s="585"/>
      <c r="R10" s="585">
        <f t="shared" si="2"/>
        <v>0</v>
      </c>
      <c r="S10" s="586">
        <f t="shared" si="3"/>
        <v>0</v>
      </c>
      <c r="T10" s="586">
        <f t="shared" si="4"/>
        <v>0</v>
      </c>
      <c r="U10" s="586">
        <f t="shared" si="5"/>
        <v>0</v>
      </c>
      <c r="V10" s="586">
        <f t="shared" si="6"/>
        <v>0</v>
      </c>
      <c r="W10" s="592"/>
      <c r="Z10" s="567">
        <v>0</v>
      </c>
    </row>
    <row r="11" spans="1:26">
      <c r="A11" s="367">
        <v>11</v>
      </c>
      <c r="B11" s="580" t="s">
        <v>129</v>
      </c>
      <c r="C11" s="581"/>
      <c r="D11" s="588"/>
      <c r="E11" s="591"/>
      <c r="F11" s="582">
        <f t="shared" si="7"/>
        <v>0</v>
      </c>
      <c r="G11" s="576"/>
      <c r="H11" s="590"/>
      <c r="I11" s="590"/>
      <c r="J11" s="584">
        <f t="shared" si="0"/>
        <v>0</v>
      </c>
      <c r="K11" s="590"/>
      <c r="L11" s="585"/>
      <c r="M11" s="585"/>
      <c r="N11" s="584">
        <f t="shared" si="1"/>
        <v>0</v>
      </c>
      <c r="O11" s="585"/>
      <c r="P11" s="585"/>
      <c r="Q11" s="585"/>
      <c r="R11" s="585">
        <f t="shared" si="2"/>
        <v>0</v>
      </c>
      <c r="S11" s="586">
        <f t="shared" si="3"/>
        <v>0</v>
      </c>
      <c r="T11" s="586">
        <f t="shared" si="4"/>
        <v>0</v>
      </c>
      <c r="U11" s="586">
        <f t="shared" si="5"/>
        <v>0</v>
      </c>
      <c r="V11" s="586">
        <f t="shared" si="6"/>
        <v>0</v>
      </c>
      <c r="W11" s="587"/>
      <c r="Z11" s="369">
        <v>0</v>
      </c>
    </row>
    <row r="12" spans="1:26">
      <c r="A12" s="367">
        <v>12</v>
      </c>
      <c r="B12" s="580" t="s">
        <v>128</v>
      </c>
      <c r="C12" s="581"/>
      <c r="D12" s="588">
        <v>100000</v>
      </c>
      <c r="E12" s="591"/>
      <c r="F12" s="582">
        <f t="shared" si="7"/>
        <v>100000</v>
      </c>
      <c r="G12" s="576"/>
      <c r="H12" s="590"/>
      <c r="I12" s="590"/>
      <c r="J12" s="584">
        <f t="shared" si="0"/>
        <v>0</v>
      </c>
      <c r="K12" s="590"/>
      <c r="L12" s="585"/>
      <c r="M12" s="585"/>
      <c r="N12" s="584">
        <f t="shared" si="1"/>
        <v>0</v>
      </c>
      <c r="O12" s="585"/>
      <c r="P12" s="585"/>
      <c r="Q12" s="585"/>
      <c r="R12" s="585">
        <f>SUM(O12:Q12)</f>
        <v>0</v>
      </c>
      <c r="S12" s="586">
        <f>F12</f>
        <v>100000</v>
      </c>
      <c r="T12" s="586">
        <f>F12+J12</f>
        <v>100000</v>
      </c>
      <c r="U12" s="586">
        <f>F12+J12+N12</f>
        <v>100000</v>
      </c>
      <c r="V12" s="586">
        <f>F12+J12+N12+R12</f>
        <v>100000</v>
      </c>
      <c r="W12" s="587">
        <v>300000</v>
      </c>
      <c r="Z12" s="369">
        <v>0</v>
      </c>
    </row>
    <row r="13" spans="1:26">
      <c r="A13" s="367">
        <v>13</v>
      </c>
      <c r="B13" s="580" t="s">
        <v>194</v>
      </c>
      <c r="C13" s="581"/>
      <c r="D13" s="588"/>
      <c r="E13" s="591"/>
      <c r="F13" s="582"/>
      <c r="G13" s="576"/>
      <c r="H13" s="590"/>
      <c r="I13" s="590"/>
      <c r="J13" s="584"/>
      <c r="K13" s="590"/>
      <c r="L13" s="585"/>
      <c r="M13" s="585"/>
      <c r="N13" s="584"/>
      <c r="O13" s="585"/>
      <c r="P13" s="585"/>
      <c r="Q13" s="585"/>
      <c r="R13" s="585">
        <f>SUM(O13:Q13)</f>
        <v>0</v>
      </c>
      <c r="S13" s="586">
        <f>F13</f>
        <v>0</v>
      </c>
      <c r="T13" s="586">
        <f>F13+J13</f>
        <v>0</v>
      </c>
      <c r="U13" s="586">
        <f>F13+J13+N13</f>
        <v>0</v>
      </c>
      <c r="V13" s="586">
        <f>F13+J13+N13+R13</f>
        <v>0</v>
      </c>
      <c r="W13" s="587"/>
      <c r="Z13" s="369"/>
    </row>
    <row r="14" spans="1:26">
      <c r="A14" s="367">
        <v>14</v>
      </c>
      <c r="B14" s="580" t="s">
        <v>164</v>
      </c>
      <c r="C14" s="588"/>
      <c r="D14" s="588"/>
      <c r="E14" s="591"/>
      <c r="F14" s="582">
        <f t="shared" si="7"/>
        <v>0</v>
      </c>
      <c r="G14" s="576"/>
      <c r="H14" s="590"/>
      <c r="I14" s="590"/>
      <c r="J14" s="584">
        <f t="shared" si="0"/>
        <v>0</v>
      </c>
      <c r="K14" s="590"/>
      <c r="L14" s="585"/>
      <c r="M14" s="585"/>
      <c r="N14" s="584">
        <f t="shared" si="1"/>
        <v>0</v>
      </c>
      <c r="O14" s="585"/>
      <c r="P14" s="594"/>
      <c r="Q14" s="585"/>
      <c r="R14" s="585">
        <f t="shared" si="2"/>
        <v>0</v>
      </c>
      <c r="S14" s="586">
        <f t="shared" si="3"/>
        <v>0</v>
      </c>
      <c r="T14" s="586">
        <f t="shared" si="4"/>
        <v>0</v>
      </c>
      <c r="U14" s="586">
        <f t="shared" si="5"/>
        <v>0</v>
      </c>
      <c r="V14" s="586">
        <f t="shared" si="6"/>
        <v>0</v>
      </c>
      <c r="W14" s="587">
        <v>50000</v>
      </c>
      <c r="Z14" s="369">
        <v>10685</v>
      </c>
    </row>
    <row r="15" spans="1:26">
      <c r="A15" s="367">
        <v>15</v>
      </c>
      <c r="B15" s="580" t="s">
        <v>8</v>
      </c>
      <c r="C15" s="581">
        <f>27105+23090+21365+19835+20660</f>
        <v>112055</v>
      </c>
      <c r="D15" s="588">
        <f>21430+18325+18520+23355</f>
        <v>81630</v>
      </c>
      <c r="E15" s="591">
        <f>18965+19585+19260+17840</f>
        <v>75650</v>
      </c>
      <c r="F15" s="582">
        <f t="shared" si="7"/>
        <v>269335</v>
      </c>
      <c r="G15" s="576">
        <f>24400+22770+27260+15860</f>
        <v>90290</v>
      </c>
      <c r="H15" s="590">
        <f>26940+19700+22545+25900+20860+23580-1000</f>
        <v>138525</v>
      </c>
      <c r="I15" s="590">
        <f>26105+23700+28115+22745</f>
        <v>100665</v>
      </c>
      <c r="J15" s="584">
        <f t="shared" si="0"/>
        <v>329480</v>
      </c>
      <c r="K15" s="590"/>
      <c r="L15" s="585"/>
      <c r="M15" s="585"/>
      <c r="N15" s="584">
        <f t="shared" si="1"/>
        <v>0</v>
      </c>
      <c r="O15" s="585"/>
      <c r="P15" s="585"/>
      <c r="Q15" s="585"/>
      <c r="R15" s="585">
        <f>SUM(O15:Q15)</f>
        <v>0</v>
      </c>
      <c r="S15" s="586">
        <f>F15</f>
        <v>269335</v>
      </c>
      <c r="T15" s="586">
        <f>F15+J15</f>
        <v>598815</v>
      </c>
      <c r="U15" s="586">
        <f>F15+J15+N15</f>
        <v>598815</v>
      </c>
      <c r="V15" s="586">
        <f>F15+J15+N15+R15</f>
        <v>598815</v>
      </c>
      <c r="W15" s="587">
        <v>1000000</v>
      </c>
      <c r="Z15" s="369">
        <v>965885</v>
      </c>
    </row>
    <row r="16" spans="1:26">
      <c r="A16" s="367">
        <v>16</v>
      </c>
      <c r="B16" s="580" t="s">
        <v>38</v>
      </c>
      <c r="C16" s="581">
        <f>5580+4740+4470+4330+4350</f>
        <v>23470</v>
      </c>
      <c r="D16" s="588">
        <f>5840+5140+3510+5075</f>
        <v>19565</v>
      </c>
      <c r="E16" s="591">
        <f>4610+4925+4400+3395</f>
        <v>17330</v>
      </c>
      <c r="F16" s="582">
        <f t="shared" si="7"/>
        <v>60365</v>
      </c>
      <c r="G16" s="576">
        <f>6300+4640+4470+3605</f>
        <v>19015</v>
      </c>
      <c r="H16" s="590">
        <f>5690+5020+6050+4520+5210</f>
        <v>26490</v>
      </c>
      <c r="I16" s="590">
        <f>6030+4540+3870+5120</f>
        <v>19560</v>
      </c>
      <c r="J16" s="584">
        <f t="shared" si="0"/>
        <v>65065</v>
      </c>
      <c r="K16" s="590"/>
      <c r="L16" s="585"/>
      <c r="M16" s="585"/>
      <c r="N16" s="584">
        <f>SUM(K16:M16)</f>
        <v>0</v>
      </c>
      <c r="O16" s="585"/>
      <c r="P16" s="585"/>
      <c r="Q16" s="585"/>
      <c r="R16" s="585">
        <f>SUM(O16:Q16)</f>
        <v>0</v>
      </c>
      <c r="S16" s="586">
        <f>F16</f>
        <v>60365</v>
      </c>
      <c r="T16" s="586">
        <f>F16+J16</f>
        <v>125430</v>
      </c>
      <c r="U16" s="586">
        <f>F16+J16+N16</f>
        <v>125430</v>
      </c>
      <c r="V16" s="586">
        <f>F16+J16+N16+R16</f>
        <v>125430</v>
      </c>
      <c r="W16" s="587">
        <v>170000</v>
      </c>
      <c r="Z16" s="369">
        <v>160480</v>
      </c>
    </row>
    <row r="17" spans="1:26">
      <c r="A17" s="367">
        <v>17</v>
      </c>
      <c r="B17" s="580" t="s">
        <v>9</v>
      </c>
      <c r="C17" s="581">
        <f>29890+3200+18000</f>
        <v>51090</v>
      </c>
      <c r="D17" s="588">
        <f>4000+5300+3270+4460</f>
        <v>17030</v>
      </c>
      <c r="E17" s="591">
        <f>22000+35510</f>
        <v>57510</v>
      </c>
      <c r="F17" s="582">
        <f t="shared" si="7"/>
        <v>125630</v>
      </c>
      <c r="G17" s="576">
        <f>2000+14190+6870</f>
        <v>23060</v>
      </c>
      <c r="H17" s="590">
        <f>10000+6900+13935+10000+10000</f>
        <v>50835</v>
      </c>
      <c r="I17" s="590">
        <f>120750+23600+75000+5000</f>
        <v>224350</v>
      </c>
      <c r="J17" s="584">
        <f t="shared" si="0"/>
        <v>298245</v>
      </c>
      <c r="K17" s="590"/>
      <c r="L17" s="585"/>
      <c r="M17" s="585"/>
      <c r="N17" s="584">
        <f t="shared" si="1"/>
        <v>0</v>
      </c>
      <c r="O17" s="585"/>
      <c r="P17" s="585"/>
      <c r="Q17" s="585"/>
      <c r="R17" s="585">
        <f t="shared" si="2"/>
        <v>0</v>
      </c>
      <c r="S17" s="586">
        <f t="shared" si="3"/>
        <v>125630</v>
      </c>
      <c r="T17" s="586">
        <f t="shared" si="4"/>
        <v>423875</v>
      </c>
      <c r="U17" s="586">
        <f t="shared" si="5"/>
        <v>423875</v>
      </c>
      <c r="V17" s="586">
        <f t="shared" si="6"/>
        <v>423875</v>
      </c>
      <c r="W17" s="587">
        <v>400000</v>
      </c>
      <c r="Z17" s="369">
        <v>446265</v>
      </c>
    </row>
    <row r="18" spans="1:26">
      <c r="A18" s="367">
        <v>18</v>
      </c>
      <c r="B18" s="580" t="s">
        <v>7</v>
      </c>
      <c r="C18" s="581">
        <f>13000+60650+46300+6850+15350+103150+10000+6000+4500+7000+3000+2300+2000+7000+6070+8500+14000+2000+30000+25000+12500</f>
        <v>385170</v>
      </c>
      <c r="D18" s="588">
        <f>51620+32300+25300+70500+69900+24000+130802+10000+15000+45000+5000+25000+4000+8400+11000+2000+9000+1500+1000+5700+14000+100000+33000+10000+1000</f>
        <v>705022</v>
      </c>
      <c r="E18" s="591">
        <f>31150+34500+27000+47450+33000+5000+46000+250000+8000+25000+4000+15000+200+5000+2000+3000+1000+13000+35000+192175+33500</f>
        <v>810975</v>
      </c>
      <c r="F18" s="582">
        <f t="shared" si="7"/>
        <v>1901167</v>
      </c>
      <c r="G18" s="576">
        <f>58050+45500+16350+10850+5000+46000+12000+20000+12500+8000+4000+3000+1500+1000+2000+2000+1000+22600+14000+5800+8000+7000+2700+198672+11000+4200+10000+15000+25000</f>
        <v>572722</v>
      </c>
      <c r="H18" s="590">
        <f>10000+14000+23500+50000+12000+25000+4000+2000+3800+2000+2000+10000+2000+4200+10000+13000+23000+15000+50000+11000+1150+86550+19430+26700+7400+79090</f>
        <v>506820</v>
      </c>
      <c r="I18" s="590">
        <f>53600+9600+31700+37910+10000+23500+46000+243152+5200+25000+1000+15000+4000+1000+23000+3000+22000+10000+10000+13000+4200+3000+20000+12400</f>
        <v>627262</v>
      </c>
      <c r="J18" s="584">
        <f t="shared" si="0"/>
        <v>1706804</v>
      </c>
      <c r="K18" s="590"/>
      <c r="L18" s="585"/>
      <c r="M18" s="585"/>
      <c r="N18" s="584">
        <f>SUM(K18:M18)</f>
        <v>0</v>
      </c>
      <c r="O18" s="585"/>
      <c r="P18" s="585"/>
      <c r="Q18" s="585"/>
      <c r="R18" s="585">
        <f>SUM(O18:Q18)</f>
        <v>0</v>
      </c>
      <c r="S18" s="586">
        <f>F18</f>
        <v>1901167</v>
      </c>
      <c r="T18" s="586">
        <f>F18+J18</f>
        <v>3607971</v>
      </c>
      <c r="U18" s="586">
        <f>F18+J18+N18</f>
        <v>3607971</v>
      </c>
      <c r="V18" s="586">
        <f>F18+J18+N18+R18</f>
        <v>3607971</v>
      </c>
      <c r="W18" s="587">
        <v>6500000</v>
      </c>
      <c r="Z18" s="369">
        <v>5912447</v>
      </c>
    </row>
    <row r="19" spans="1:26">
      <c r="A19" s="367">
        <v>19</v>
      </c>
      <c r="B19" s="595" t="s">
        <v>112</v>
      </c>
      <c r="C19" s="596">
        <f t="shared" ref="C19:I19" si="8">SUM(C6:C18)</f>
        <v>596987.06000000006</v>
      </c>
      <c r="D19" s="596">
        <f t="shared" si="8"/>
        <v>1350636.98</v>
      </c>
      <c r="E19" s="597">
        <f t="shared" si="8"/>
        <v>1031973.12</v>
      </c>
      <c r="F19" s="596">
        <f t="shared" si="8"/>
        <v>2979597.16</v>
      </c>
      <c r="G19" s="596">
        <f t="shared" si="8"/>
        <v>1234732.94</v>
      </c>
      <c r="H19" s="596">
        <f t="shared" si="8"/>
        <v>860759.23</v>
      </c>
      <c r="I19" s="596">
        <f t="shared" si="8"/>
        <v>1265100.3700000001</v>
      </c>
      <c r="J19" s="596">
        <f t="shared" ref="J19:V19" si="9">SUM(J6:J18)</f>
        <v>3360592.54</v>
      </c>
      <c r="K19" s="598">
        <f t="shared" si="9"/>
        <v>0</v>
      </c>
      <c r="L19" s="596">
        <f t="shared" si="9"/>
        <v>0</v>
      </c>
      <c r="M19" s="596">
        <f>SUM(M6:M18)</f>
        <v>0</v>
      </c>
      <c r="N19" s="596">
        <f t="shared" si="9"/>
        <v>0</v>
      </c>
      <c r="O19" s="596">
        <f t="shared" si="9"/>
        <v>0</v>
      </c>
      <c r="P19" s="596">
        <f t="shared" si="9"/>
        <v>0</v>
      </c>
      <c r="Q19" s="596">
        <f t="shared" si="9"/>
        <v>0</v>
      </c>
      <c r="R19" s="596">
        <f t="shared" si="9"/>
        <v>0</v>
      </c>
      <c r="S19" s="599">
        <f>SUM(S6:S18)</f>
        <v>2979597.16</v>
      </c>
      <c r="T19" s="599">
        <f>SUM(T6:T18)</f>
        <v>6340189.7000000002</v>
      </c>
      <c r="U19" s="599">
        <f>SUM(U6:U18)</f>
        <v>6340189.7000000002</v>
      </c>
      <c r="V19" s="599">
        <f t="shared" si="9"/>
        <v>6340189.7000000002</v>
      </c>
      <c r="W19" s="600">
        <f>SUM(W6:W18)</f>
        <v>10670600</v>
      </c>
      <c r="Z19" s="369">
        <v>8839102.7599999998</v>
      </c>
    </row>
    <row r="20" spans="1:26" ht="31.5">
      <c r="A20" s="367">
        <v>20</v>
      </c>
      <c r="B20" s="601" t="s">
        <v>75</v>
      </c>
      <c r="C20" s="602">
        <f>286762.07</f>
        <v>286762.07</v>
      </c>
      <c r="D20" s="603">
        <f>C100+C101+C102</f>
        <v>212211.90999999992</v>
      </c>
      <c r="E20" s="604">
        <f>D100+D101+D102</f>
        <v>507105.44999999995</v>
      </c>
      <c r="F20" s="605">
        <f>C20</f>
        <v>286762.07</v>
      </c>
      <c r="G20" s="606">
        <f>E100+E101+E102</f>
        <v>105249.60999999999</v>
      </c>
      <c r="H20" s="606">
        <f>G100+G101+G102</f>
        <v>94865.45</v>
      </c>
      <c r="I20" s="606">
        <f>H100+H101+H102</f>
        <v>240423.21</v>
      </c>
      <c r="J20" s="606">
        <f>G20</f>
        <v>105249.60999999999</v>
      </c>
      <c r="K20" s="606">
        <f>J100+J101+J102</f>
        <v>85426.99</v>
      </c>
      <c r="L20" s="606">
        <f>K100+K101+K102</f>
        <v>0</v>
      </c>
      <c r="M20" s="606">
        <f>L100+L101+L102</f>
        <v>0</v>
      </c>
      <c r="N20" s="607">
        <f>K20</f>
        <v>85426.99</v>
      </c>
      <c r="O20" s="606">
        <f>N100+N101+N102</f>
        <v>0</v>
      </c>
      <c r="P20" s="606">
        <f>O100+O101+O102</f>
        <v>0</v>
      </c>
      <c r="Q20" s="606">
        <f>P100+P101+P102</f>
        <v>0</v>
      </c>
      <c r="R20" s="607">
        <f>O20</f>
        <v>0</v>
      </c>
      <c r="S20" s="608">
        <f>$C$20</f>
        <v>286762.07</v>
      </c>
      <c r="T20" s="608">
        <f>$C$20</f>
        <v>286762.07</v>
      </c>
      <c r="U20" s="608">
        <f>$C$20</f>
        <v>286762.07</v>
      </c>
      <c r="V20" s="608">
        <f>$C$20</f>
        <v>286762.07</v>
      </c>
      <c r="W20" s="602">
        <f>286762.07</f>
        <v>286762.07</v>
      </c>
      <c r="Z20" s="369">
        <v>156556.89999999997</v>
      </c>
    </row>
    <row r="21" spans="1:26">
      <c r="A21" s="367">
        <v>21</v>
      </c>
      <c r="B21" s="580" t="s">
        <v>72</v>
      </c>
      <c r="C21" s="572">
        <v>16787.310000000001</v>
      </c>
      <c r="D21" s="603">
        <f>C103</f>
        <v>33911.160000000003</v>
      </c>
      <c r="E21" s="604">
        <f>D103</f>
        <v>56463.14</v>
      </c>
      <c r="F21" s="609">
        <f>C21</f>
        <v>16787.310000000001</v>
      </c>
      <c r="G21" s="606">
        <f>E103</f>
        <v>58905.95</v>
      </c>
      <c r="H21" s="606">
        <f>G103</f>
        <v>78493.3</v>
      </c>
      <c r="I21" s="606">
        <f>H103</f>
        <v>95529.11</v>
      </c>
      <c r="J21" s="606">
        <f>G21</f>
        <v>58905.95</v>
      </c>
      <c r="K21" s="606">
        <f>J103</f>
        <v>49476.14</v>
      </c>
      <c r="L21" s="606">
        <f>K103</f>
        <v>0</v>
      </c>
      <c r="M21" s="606">
        <f>L103</f>
        <v>0</v>
      </c>
      <c r="N21" s="607">
        <f>K21</f>
        <v>49476.14</v>
      </c>
      <c r="O21" s="606">
        <f>N103</f>
        <v>0</v>
      </c>
      <c r="P21" s="606">
        <f>O103</f>
        <v>0</v>
      </c>
      <c r="Q21" s="606">
        <f>P103</f>
        <v>0</v>
      </c>
      <c r="R21" s="607">
        <f>O21</f>
        <v>0</v>
      </c>
      <c r="S21" s="608">
        <f>$C$21</f>
        <v>16787.310000000001</v>
      </c>
      <c r="T21" s="608">
        <f>$C$21</f>
        <v>16787.310000000001</v>
      </c>
      <c r="U21" s="608">
        <f>$C$21</f>
        <v>16787.310000000001</v>
      </c>
      <c r="V21" s="608">
        <f>$C$21</f>
        <v>16787.310000000001</v>
      </c>
      <c r="W21" s="572">
        <v>16787.310000000001</v>
      </c>
      <c r="Z21" s="369">
        <v>39888.36</v>
      </c>
    </row>
    <row r="22" spans="1:26">
      <c r="A22" s="367">
        <v>22</v>
      </c>
      <c r="B22" s="580" t="s">
        <v>73</v>
      </c>
      <c r="C22" s="572">
        <v>1513424.07</v>
      </c>
      <c r="D22" s="603">
        <f>C104+C105+C106</f>
        <v>1084216.07</v>
      </c>
      <c r="E22" s="604">
        <f>D104+D105+D106</f>
        <v>588379.68999999994</v>
      </c>
      <c r="F22" s="609">
        <f>C22</f>
        <v>1513424.07</v>
      </c>
      <c r="G22" s="606">
        <f>E104+E105+E106</f>
        <v>185568.19</v>
      </c>
      <c r="H22" s="606">
        <f>G104+G105+G106</f>
        <v>501502.19</v>
      </c>
      <c r="I22" s="606">
        <f>H104+H105+H106</f>
        <v>492254.19</v>
      </c>
      <c r="J22" s="606">
        <f>F104+F105+F106</f>
        <v>185568.19</v>
      </c>
      <c r="K22" s="606">
        <f>J104+J105+J106</f>
        <v>322727.19</v>
      </c>
      <c r="L22" s="606">
        <f>K104+K105+K106</f>
        <v>0</v>
      </c>
      <c r="M22" s="606">
        <f>L104+L105+L106</f>
        <v>0</v>
      </c>
      <c r="N22" s="607">
        <f>K22</f>
        <v>322727.19</v>
      </c>
      <c r="O22" s="606">
        <f>N104+N105+N106</f>
        <v>0</v>
      </c>
      <c r="P22" s="606">
        <f>O104+O105+O106</f>
        <v>0</v>
      </c>
      <c r="Q22" s="606">
        <f>P104+P105+P106</f>
        <v>0</v>
      </c>
      <c r="R22" s="607">
        <f>O22</f>
        <v>0</v>
      </c>
      <c r="S22" s="608">
        <f>$C$22</f>
        <v>1513424.07</v>
      </c>
      <c r="T22" s="608">
        <f>$C$22</f>
        <v>1513424.07</v>
      </c>
      <c r="U22" s="608">
        <f>$C$22</f>
        <v>1513424.07</v>
      </c>
      <c r="V22" s="608">
        <f>$C$22</f>
        <v>1513424.07</v>
      </c>
      <c r="W22" s="572">
        <v>1513424.07</v>
      </c>
      <c r="Z22" s="369">
        <v>531235.5</v>
      </c>
    </row>
    <row r="23" spans="1:26">
      <c r="A23" s="367">
        <v>23</v>
      </c>
      <c r="B23" s="580" t="s">
        <v>124</v>
      </c>
      <c r="C23" s="572">
        <v>3000</v>
      </c>
      <c r="D23" s="603">
        <f>C107</f>
        <v>5500</v>
      </c>
      <c r="E23" s="604">
        <f>D107</f>
        <v>1000</v>
      </c>
      <c r="F23" s="609">
        <f>C23</f>
        <v>3000</v>
      </c>
      <c r="G23" s="606">
        <f>E107</f>
        <v>1000</v>
      </c>
      <c r="H23" s="606">
        <f>G107</f>
        <v>0</v>
      </c>
      <c r="I23" s="606">
        <f>H107</f>
        <v>0</v>
      </c>
      <c r="J23" s="606">
        <f>F107</f>
        <v>1000</v>
      </c>
      <c r="K23" s="606">
        <f>J107</f>
        <v>0</v>
      </c>
      <c r="L23" s="606">
        <f>K107</f>
        <v>0</v>
      </c>
      <c r="M23" s="606">
        <f>L107</f>
        <v>0</v>
      </c>
      <c r="N23" s="607">
        <f>K23</f>
        <v>0</v>
      </c>
      <c r="O23" s="606">
        <f>N107</f>
        <v>0</v>
      </c>
      <c r="P23" s="606">
        <f>O107</f>
        <v>0</v>
      </c>
      <c r="Q23" s="606">
        <f>P107</f>
        <v>0</v>
      </c>
      <c r="R23" s="607">
        <f>O23</f>
        <v>0</v>
      </c>
      <c r="S23" s="608">
        <f>$C$23</f>
        <v>3000</v>
      </c>
      <c r="T23" s="608">
        <f>$C$23</f>
        <v>3000</v>
      </c>
      <c r="U23" s="608">
        <f>$C$23</f>
        <v>3000</v>
      </c>
      <c r="V23" s="608">
        <f>$C$23</f>
        <v>3000</v>
      </c>
      <c r="W23" s="572">
        <v>3000</v>
      </c>
      <c r="Z23" s="369">
        <v>4190</v>
      </c>
    </row>
    <row r="24" spans="1:26">
      <c r="A24" s="367">
        <v>24</v>
      </c>
      <c r="B24" s="580" t="s">
        <v>219</v>
      </c>
      <c r="C24" s="588">
        <f>SUM(C20:C23)</f>
        <v>1819973.4500000002</v>
      </c>
      <c r="D24" s="588">
        <f>SUM(D20:D23)</f>
        <v>1335839.1399999999</v>
      </c>
      <c r="E24" s="610">
        <f>SUM(E20:E23)</f>
        <v>1152948.2799999998</v>
      </c>
      <c r="F24" s="582">
        <f t="shared" ref="F24:R24" si="10">SUM(F20:F23)</f>
        <v>1819973.4500000002</v>
      </c>
      <c r="G24" s="611">
        <f t="shared" si="10"/>
        <v>350723.75</v>
      </c>
      <c r="H24" s="582">
        <f t="shared" si="10"/>
        <v>674860.94</v>
      </c>
      <c r="I24" s="582">
        <f t="shared" si="10"/>
        <v>828206.51</v>
      </c>
      <c r="J24" s="582">
        <f>SUM(J20:J23)</f>
        <v>350723.75</v>
      </c>
      <c r="K24" s="611">
        <f t="shared" si="10"/>
        <v>457630.32</v>
      </c>
      <c r="L24" s="582">
        <f t="shared" si="10"/>
        <v>0</v>
      </c>
      <c r="M24" s="582">
        <f>SUM(M20:M23)</f>
        <v>0</v>
      </c>
      <c r="N24" s="584">
        <f t="shared" si="10"/>
        <v>457630.32</v>
      </c>
      <c r="O24" s="584">
        <f>SUM(O20:O23)</f>
        <v>0</v>
      </c>
      <c r="P24" s="585">
        <f>SUM(P20:P23)</f>
        <v>0</v>
      </c>
      <c r="Q24" s="585">
        <f>SUM(Q20:Q23)</f>
        <v>0</v>
      </c>
      <c r="R24" s="585">
        <f t="shared" si="10"/>
        <v>0</v>
      </c>
      <c r="S24" s="608">
        <f>$C$24</f>
        <v>1819973.4500000002</v>
      </c>
      <c r="T24" s="608">
        <f>$C$24</f>
        <v>1819973.4500000002</v>
      </c>
      <c r="U24" s="608">
        <f>$C$24</f>
        <v>1819973.4500000002</v>
      </c>
      <c r="V24" s="608">
        <f>$C$24</f>
        <v>1819973.4500000002</v>
      </c>
      <c r="W24" s="612">
        <f>SUM(W20:W23)</f>
        <v>1819973.4500000002</v>
      </c>
      <c r="Z24" s="369">
        <v>731870.76</v>
      </c>
    </row>
    <row r="25" spans="1:26">
      <c r="A25" s="367">
        <v>25</v>
      </c>
      <c r="B25" s="613" t="s">
        <v>108</v>
      </c>
      <c r="C25" s="614">
        <f t="shared" ref="C25:I25" si="11">SUM(C19:C23)</f>
        <v>2416960.5100000002</v>
      </c>
      <c r="D25" s="614">
        <f t="shared" si="11"/>
        <v>2686476.12</v>
      </c>
      <c r="E25" s="615">
        <f t="shared" si="11"/>
        <v>2184921.3999999994</v>
      </c>
      <c r="F25" s="614">
        <f>SUM(F19:F23)</f>
        <v>4799570.6100000003</v>
      </c>
      <c r="G25" s="616">
        <f t="shared" si="11"/>
        <v>1585456.6899999997</v>
      </c>
      <c r="H25" s="614">
        <f t="shared" si="11"/>
        <v>1535620.17</v>
      </c>
      <c r="I25" s="614">
        <f t="shared" si="11"/>
        <v>2093306.8800000001</v>
      </c>
      <c r="J25" s="614">
        <f t="shared" ref="J25:U25" si="12">SUM(J19:J23)</f>
        <v>3711316.29</v>
      </c>
      <c r="K25" s="616">
        <f t="shared" si="12"/>
        <v>457630.32</v>
      </c>
      <c r="L25" s="614">
        <f t="shared" si="12"/>
        <v>0</v>
      </c>
      <c r="M25" s="614">
        <f>SUM(M19:M23)</f>
        <v>0</v>
      </c>
      <c r="N25" s="614">
        <f t="shared" si="12"/>
        <v>457630.32</v>
      </c>
      <c r="O25" s="614">
        <f t="shared" si="12"/>
        <v>0</v>
      </c>
      <c r="P25" s="614">
        <f t="shared" si="12"/>
        <v>0</v>
      </c>
      <c r="Q25" s="614">
        <f t="shared" si="12"/>
        <v>0</v>
      </c>
      <c r="R25" s="614">
        <f t="shared" si="12"/>
        <v>0</v>
      </c>
      <c r="S25" s="599">
        <f t="shared" si="12"/>
        <v>4799570.6100000003</v>
      </c>
      <c r="T25" s="599">
        <f t="shared" si="12"/>
        <v>8160163.1500000004</v>
      </c>
      <c r="U25" s="599">
        <f t="shared" si="12"/>
        <v>8160163.1500000004</v>
      </c>
      <c r="V25" s="599">
        <f>SUM(V19:V23)</f>
        <v>8160163.1500000004</v>
      </c>
      <c r="W25" s="614">
        <f>SUM(W19:W23)</f>
        <v>12490573.450000001</v>
      </c>
      <c r="Z25" s="369">
        <v>9570973.5199999996</v>
      </c>
    </row>
    <row r="26" spans="1:26" s="593" customFormat="1">
      <c r="A26" s="367">
        <v>26</v>
      </c>
      <c r="B26" s="613" t="s">
        <v>88</v>
      </c>
      <c r="C26" s="588"/>
      <c r="D26" s="588"/>
      <c r="E26" s="610"/>
      <c r="F26" s="588"/>
      <c r="G26" s="588"/>
      <c r="H26" s="588"/>
      <c r="I26" s="588"/>
      <c r="J26" s="588"/>
      <c r="K26" s="590"/>
      <c r="L26" s="617"/>
      <c r="M26" s="618"/>
      <c r="N26" s="585"/>
      <c r="O26" s="585"/>
      <c r="P26" s="585"/>
      <c r="Q26" s="585"/>
      <c r="R26" s="585"/>
      <c r="S26" s="586"/>
      <c r="T26" s="586"/>
      <c r="U26" s="586"/>
      <c r="V26" s="619"/>
      <c r="W26" s="592"/>
      <c r="Z26" s="567"/>
    </row>
    <row r="27" spans="1:26">
      <c r="A27" s="367">
        <v>27</v>
      </c>
      <c r="B27" s="620" t="s">
        <v>76</v>
      </c>
      <c r="C27" s="574">
        <f t="shared" ref="C27:V27" si="13">SUM(C28:C55)</f>
        <v>95740</v>
      </c>
      <c r="D27" s="574">
        <f t="shared" si="13"/>
        <v>122000</v>
      </c>
      <c r="E27" s="621">
        <f t="shared" si="13"/>
        <v>394890</v>
      </c>
      <c r="F27" s="574">
        <f t="shared" si="13"/>
        <v>612630</v>
      </c>
      <c r="G27" s="574">
        <f t="shared" si="13"/>
        <v>158880</v>
      </c>
      <c r="H27" s="574">
        <f t="shared" si="13"/>
        <v>85240</v>
      </c>
      <c r="I27" s="574">
        <f t="shared" si="13"/>
        <v>159400</v>
      </c>
      <c r="J27" s="574">
        <f t="shared" si="13"/>
        <v>403520</v>
      </c>
      <c r="K27" s="577">
        <f t="shared" si="13"/>
        <v>0</v>
      </c>
      <c r="L27" s="574">
        <f t="shared" si="13"/>
        <v>0</v>
      </c>
      <c r="M27" s="574">
        <f t="shared" si="13"/>
        <v>0</v>
      </c>
      <c r="N27" s="577">
        <f t="shared" si="13"/>
        <v>0</v>
      </c>
      <c r="O27" s="577">
        <f t="shared" si="13"/>
        <v>0</v>
      </c>
      <c r="P27" s="577">
        <f t="shared" si="13"/>
        <v>0</v>
      </c>
      <c r="Q27" s="577">
        <f t="shared" si="13"/>
        <v>0</v>
      </c>
      <c r="R27" s="577">
        <f t="shared" si="13"/>
        <v>0</v>
      </c>
      <c r="S27" s="622">
        <f t="shared" si="13"/>
        <v>612630</v>
      </c>
      <c r="T27" s="622">
        <f t="shared" si="13"/>
        <v>1016150</v>
      </c>
      <c r="U27" s="622">
        <f t="shared" si="13"/>
        <v>1016150</v>
      </c>
      <c r="V27" s="586">
        <f t="shared" si="13"/>
        <v>1016150</v>
      </c>
      <c r="W27" s="592">
        <f>SUM(W28:W54)</f>
        <v>3012600</v>
      </c>
      <c r="Z27" s="369">
        <v>1610500</v>
      </c>
    </row>
    <row r="28" spans="1:26">
      <c r="A28" s="367">
        <v>28</v>
      </c>
      <c r="B28" s="623" t="s">
        <v>3</v>
      </c>
      <c r="C28" s="609"/>
      <c r="D28" s="572"/>
      <c r="E28" s="573">
        <f>85000+20000-60</f>
        <v>104940</v>
      </c>
      <c r="F28" s="574">
        <f>SUM(C28:E28)</f>
        <v>104940</v>
      </c>
      <c r="G28" s="572"/>
      <c r="H28" s="572">
        <v>20000</v>
      </c>
      <c r="I28" s="572">
        <f>71500-2500</f>
        <v>69000</v>
      </c>
      <c r="J28" s="574">
        <f>SUM(G28:I28)</f>
        <v>89000</v>
      </c>
      <c r="K28" s="576"/>
      <c r="L28" s="572"/>
      <c r="M28" s="572"/>
      <c r="N28" s="577">
        <f>SUM(K28:M28)</f>
        <v>0</v>
      </c>
      <c r="O28" s="142"/>
      <c r="P28" s="142"/>
      <c r="Q28" s="142"/>
      <c r="R28" s="577">
        <f t="shared" ref="R28:R49" si="14">SUM(O28:Q28)</f>
        <v>0</v>
      </c>
      <c r="S28" s="586">
        <f t="shared" ref="S28:S70" si="15">F28</f>
        <v>104940</v>
      </c>
      <c r="T28" s="586">
        <f t="shared" ref="T28:T70" si="16">F28+J28</f>
        <v>193940</v>
      </c>
      <c r="U28" s="586">
        <f t="shared" ref="U28:U70" si="17">F28+J28+N28</f>
        <v>193940</v>
      </c>
      <c r="V28" s="586">
        <f t="shared" ref="V28:V70" si="18">F28+J28+N28+R28</f>
        <v>193940</v>
      </c>
      <c r="W28" s="587">
        <v>357000</v>
      </c>
      <c r="Z28" s="369">
        <v>442500</v>
      </c>
    </row>
    <row r="29" spans="1:26">
      <c r="A29" s="367">
        <v>29</v>
      </c>
      <c r="B29" s="623" t="s">
        <v>50</v>
      </c>
      <c r="C29" s="609">
        <f>-60+3500</f>
        <v>3440</v>
      </c>
      <c r="D29" s="572">
        <f>3500</f>
        <v>3500</v>
      </c>
      <c r="E29" s="573">
        <f>3500+14000+40000</f>
        <v>57500</v>
      </c>
      <c r="F29" s="574">
        <f t="shared" ref="F29:F49" si="19">SUM(C29:E29)</f>
        <v>64440</v>
      </c>
      <c r="G29" s="572">
        <f>4340-100</f>
        <v>4240</v>
      </c>
      <c r="H29" s="572">
        <f>7700+3500+15000</f>
        <v>26200</v>
      </c>
      <c r="I29" s="572">
        <f>3500</f>
        <v>3500</v>
      </c>
      <c r="J29" s="574">
        <f t="shared" ref="J29:J49" si="20">SUM(G29:I29)</f>
        <v>33940</v>
      </c>
      <c r="K29" s="576"/>
      <c r="L29" s="572"/>
      <c r="M29" s="572"/>
      <c r="N29" s="577">
        <f t="shared" ref="N29:N49" si="21">SUM(K29:M29)</f>
        <v>0</v>
      </c>
      <c r="O29" s="142"/>
      <c r="P29" s="142"/>
      <c r="Q29" s="142"/>
      <c r="R29" s="577">
        <f t="shared" si="14"/>
        <v>0</v>
      </c>
      <c r="S29" s="586">
        <f t="shared" si="15"/>
        <v>64440</v>
      </c>
      <c r="T29" s="586">
        <f t="shared" si="16"/>
        <v>98380</v>
      </c>
      <c r="U29" s="586">
        <f t="shared" si="17"/>
        <v>98380</v>
      </c>
      <c r="V29" s="586">
        <f t="shared" si="18"/>
        <v>98380</v>
      </c>
      <c r="W29" s="587">
        <v>264000</v>
      </c>
      <c r="Z29" s="369">
        <v>49450</v>
      </c>
    </row>
    <row r="30" spans="1:26">
      <c r="A30" s="367">
        <v>30</v>
      </c>
      <c r="B30" s="623" t="s">
        <v>4</v>
      </c>
      <c r="C30" s="609"/>
      <c r="D30" s="572"/>
      <c r="E30" s="573"/>
      <c r="F30" s="574">
        <f t="shared" si="19"/>
        <v>0</v>
      </c>
      <c r="G30" s="572"/>
      <c r="H30" s="572"/>
      <c r="I30" s="572"/>
      <c r="J30" s="574">
        <f t="shared" si="20"/>
        <v>0</v>
      </c>
      <c r="K30" s="576"/>
      <c r="L30" s="572"/>
      <c r="M30" s="572"/>
      <c r="N30" s="577">
        <f t="shared" si="21"/>
        <v>0</v>
      </c>
      <c r="O30" s="142"/>
      <c r="P30" s="142"/>
      <c r="Q30" s="142"/>
      <c r="R30" s="577">
        <f>SUM(O30:Q30)</f>
        <v>0</v>
      </c>
      <c r="S30" s="586">
        <f t="shared" si="15"/>
        <v>0</v>
      </c>
      <c r="T30" s="586">
        <f t="shared" si="16"/>
        <v>0</v>
      </c>
      <c r="U30" s="586">
        <f t="shared" si="17"/>
        <v>0</v>
      </c>
      <c r="V30" s="586">
        <f t="shared" si="18"/>
        <v>0</v>
      </c>
      <c r="W30" s="587">
        <v>25000</v>
      </c>
      <c r="Z30" s="369">
        <v>6620</v>
      </c>
    </row>
    <row r="31" spans="1:26">
      <c r="A31" s="367">
        <v>31</v>
      </c>
      <c r="B31" s="623" t="s">
        <v>46</v>
      </c>
      <c r="C31" s="609"/>
      <c r="D31" s="572"/>
      <c r="E31" s="573"/>
      <c r="F31" s="574">
        <f t="shared" si="19"/>
        <v>0</v>
      </c>
      <c r="G31" s="572"/>
      <c r="H31" s="572"/>
      <c r="I31" s="572"/>
      <c r="J31" s="574">
        <f t="shared" si="20"/>
        <v>0</v>
      </c>
      <c r="K31" s="576"/>
      <c r="L31" s="572"/>
      <c r="M31" s="572"/>
      <c r="N31" s="577">
        <f t="shared" si="21"/>
        <v>0</v>
      </c>
      <c r="O31" s="142"/>
      <c r="P31" s="142"/>
      <c r="Q31" s="142"/>
      <c r="R31" s="577">
        <f t="shared" si="14"/>
        <v>0</v>
      </c>
      <c r="S31" s="586">
        <f t="shared" si="15"/>
        <v>0</v>
      </c>
      <c r="T31" s="586">
        <f t="shared" si="16"/>
        <v>0</v>
      </c>
      <c r="U31" s="586">
        <f t="shared" si="17"/>
        <v>0</v>
      </c>
      <c r="V31" s="586">
        <f t="shared" si="18"/>
        <v>0</v>
      </c>
      <c r="W31" s="587">
        <v>20000</v>
      </c>
      <c r="Z31" s="369">
        <v>0</v>
      </c>
    </row>
    <row r="32" spans="1:26">
      <c r="A32" s="367">
        <v>32</v>
      </c>
      <c r="B32" s="623" t="s">
        <v>212</v>
      </c>
      <c r="C32" s="609"/>
      <c r="D32" s="572"/>
      <c r="E32" s="573"/>
      <c r="F32" s="574">
        <f>SUM(C32:E32)</f>
        <v>0</v>
      </c>
      <c r="G32" s="572"/>
      <c r="H32" s="572"/>
      <c r="I32" s="572"/>
      <c r="J32" s="574">
        <f>SUM(G32:I32)</f>
        <v>0</v>
      </c>
      <c r="K32" s="576"/>
      <c r="L32" s="572"/>
      <c r="M32" s="572"/>
      <c r="N32" s="577">
        <f>SUM(K32:M32)</f>
        <v>0</v>
      </c>
      <c r="O32" s="142"/>
      <c r="P32" s="142"/>
      <c r="Q32" s="142"/>
      <c r="R32" s="577">
        <f>SUM(O32:Q32)</f>
        <v>0</v>
      </c>
      <c r="S32" s="586">
        <f>F32</f>
        <v>0</v>
      </c>
      <c r="T32" s="586">
        <f>F32+J32</f>
        <v>0</v>
      </c>
      <c r="U32" s="586">
        <f>F32+J32+N32</f>
        <v>0</v>
      </c>
      <c r="V32" s="586">
        <f>F32+J32+N32+R32</f>
        <v>0</v>
      </c>
      <c r="W32" s="587">
        <v>20000</v>
      </c>
      <c r="Z32" s="369"/>
    </row>
    <row r="33" spans="1:26">
      <c r="A33" s="367">
        <v>33</v>
      </c>
      <c r="B33" s="623" t="s">
        <v>56</v>
      </c>
      <c r="C33" s="609"/>
      <c r="D33" s="572"/>
      <c r="E33" s="573"/>
      <c r="F33" s="574">
        <f t="shared" si="19"/>
        <v>0</v>
      </c>
      <c r="G33" s="572"/>
      <c r="H33" s="572"/>
      <c r="I33" s="572"/>
      <c r="J33" s="574">
        <f t="shared" si="20"/>
        <v>0</v>
      </c>
      <c r="K33" s="576"/>
      <c r="L33" s="572"/>
      <c r="M33" s="572"/>
      <c r="N33" s="577">
        <f t="shared" si="21"/>
        <v>0</v>
      </c>
      <c r="O33" s="142"/>
      <c r="P33" s="142"/>
      <c r="Q33" s="142"/>
      <c r="R33" s="577">
        <f t="shared" si="14"/>
        <v>0</v>
      </c>
      <c r="S33" s="586">
        <f t="shared" si="15"/>
        <v>0</v>
      </c>
      <c r="T33" s="586">
        <f t="shared" si="16"/>
        <v>0</v>
      </c>
      <c r="U33" s="586">
        <f t="shared" si="17"/>
        <v>0</v>
      </c>
      <c r="V33" s="586">
        <f t="shared" si="18"/>
        <v>0</v>
      </c>
      <c r="W33" s="587">
        <v>15000</v>
      </c>
      <c r="Z33" s="369">
        <v>5900</v>
      </c>
    </row>
    <row r="34" spans="1:26">
      <c r="A34" s="367">
        <v>34</v>
      </c>
      <c r="B34" s="623" t="s">
        <v>52</v>
      </c>
      <c r="C34" s="609"/>
      <c r="D34" s="572"/>
      <c r="E34" s="573"/>
      <c r="F34" s="574">
        <f t="shared" si="19"/>
        <v>0</v>
      </c>
      <c r="G34" s="572"/>
      <c r="H34" s="572">
        <v>10000</v>
      </c>
      <c r="I34" s="572"/>
      <c r="J34" s="574">
        <f t="shared" si="20"/>
        <v>10000</v>
      </c>
      <c r="K34" s="576"/>
      <c r="L34" s="572"/>
      <c r="M34" s="572"/>
      <c r="N34" s="577">
        <f t="shared" si="21"/>
        <v>0</v>
      </c>
      <c r="O34" s="142"/>
      <c r="P34" s="142"/>
      <c r="Q34" s="142"/>
      <c r="R34" s="577">
        <f t="shared" si="14"/>
        <v>0</v>
      </c>
      <c r="S34" s="586">
        <f t="shared" si="15"/>
        <v>0</v>
      </c>
      <c r="T34" s="586">
        <f t="shared" si="16"/>
        <v>10000</v>
      </c>
      <c r="U34" s="586">
        <f t="shared" si="17"/>
        <v>10000</v>
      </c>
      <c r="V34" s="586">
        <f t="shared" si="18"/>
        <v>10000</v>
      </c>
      <c r="W34" s="587">
        <v>35000</v>
      </c>
      <c r="Z34" s="369">
        <v>0</v>
      </c>
    </row>
    <row r="35" spans="1:26">
      <c r="A35" s="367">
        <v>35</v>
      </c>
      <c r="B35" s="623" t="s">
        <v>145</v>
      </c>
      <c r="C35" s="609"/>
      <c r="D35" s="572"/>
      <c r="E35" s="573"/>
      <c r="F35" s="574">
        <f t="shared" si="19"/>
        <v>0</v>
      </c>
      <c r="G35" s="572"/>
      <c r="H35" s="572"/>
      <c r="I35" s="572"/>
      <c r="J35" s="574">
        <f t="shared" si="20"/>
        <v>0</v>
      </c>
      <c r="K35" s="576"/>
      <c r="L35" s="572"/>
      <c r="M35" s="572"/>
      <c r="N35" s="577">
        <f t="shared" si="21"/>
        <v>0</v>
      </c>
      <c r="O35" s="142"/>
      <c r="P35" s="142"/>
      <c r="Q35" s="142"/>
      <c r="R35" s="577">
        <f t="shared" si="14"/>
        <v>0</v>
      </c>
      <c r="S35" s="586">
        <f t="shared" si="15"/>
        <v>0</v>
      </c>
      <c r="T35" s="586">
        <f t="shared" si="16"/>
        <v>0</v>
      </c>
      <c r="U35" s="586">
        <f t="shared" si="17"/>
        <v>0</v>
      </c>
      <c r="V35" s="586">
        <f t="shared" si="18"/>
        <v>0</v>
      </c>
      <c r="W35" s="587">
        <v>130000</v>
      </c>
      <c r="Z35" s="369">
        <v>0</v>
      </c>
    </row>
    <row r="36" spans="1:26">
      <c r="A36" s="367">
        <v>36</v>
      </c>
      <c r="B36" s="623" t="s">
        <v>77</v>
      </c>
      <c r="C36" s="609"/>
      <c r="D36" s="572"/>
      <c r="E36" s="573">
        <f>5000+1400+100000</f>
        <v>106400</v>
      </c>
      <c r="F36" s="574">
        <f t="shared" si="19"/>
        <v>106400</v>
      </c>
      <c r="G36" s="572">
        <f>50000+50000</f>
        <v>100000</v>
      </c>
      <c r="H36" s="572"/>
      <c r="I36" s="572">
        <v>50000</v>
      </c>
      <c r="J36" s="574">
        <f t="shared" si="20"/>
        <v>150000</v>
      </c>
      <c r="K36" s="576"/>
      <c r="L36" s="572"/>
      <c r="M36" s="572"/>
      <c r="N36" s="577">
        <f t="shared" si="21"/>
        <v>0</v>
      </c>
      <c r="O36" s="142"/>
      <c r="P36" s="142"/>
      <c r="Q36" s="142"/>
      <c r="R36" s="577">
        <f t="shared" si="14"/>
        <v>0</v>
      </c>
      <c r="S36" s="586">
        <f t="shared" si="15"/>
        <v>106400</v>
      </c>
      <c r="T36" s="586">
        <f t="shared" si="16"/>
        <v>256400</v>
      </c>
      <c r="U36" s="586">
        <f t="shared" si="17"/>
        <v>256400</v>
      </c>
      <c r="V36" s="586">
        <f t="shared" si="18"/>
        <v>256400</v>
      </c>
      <c r="W36" s="587">
        <v>500000</v>
      </c>
      <c r="Z36" s="369">
        <v>0</v>
      </c>
    </row>
    <row r="37" spans="1:26">
      <c r="A37" s="367">
        <v>37</v>
      </c>
      <c r="B37" s="623" t="s">
        <v>135</v>
      </c>
      <c r="C37" s="609"/>
      <c r="D37" s="572"/>
      <c r="E37" s="573"/>
      <c r="F37" s="574">
        <f t="shared" si="19"/>
        <v>0</v>
      </c>
      <c r="G37" s="572"/>
      <c r="H37" s="572"/>
      <c r="I37" s="572"/>
      <c r="J37" s="574">
        <f t="shared" si="20"/>
        <v>0</v>
      </c>
      <c r="K37" s="576"/>
      <c r="L37" s="572"/>
      <c r="M37" s="572"/>
      <c r="N37" s="577">
        <f t="shared" si="21"/>
        <v>0</v>
      </c>
      <c r="O37" s="142"/>
      <c r="P37" s="142"/>
      <c r="Q37" s="142"/>
      <c r="R37" s="577">
        <f t="shared" si="14"/>
        <v>0</v>
      </c>
      <c r="S37" s="586">
        <f t="shared" si="15"/>
        <v>0</v>
      </c>
      <c r="T37" s="586">
        <f t="shared" si="16"/>
        <v>0</v>
      </c>
      <c r="U37" s="586">
        <f t="shared" si="17"/>
        <v>0</v>
      </c>
      <c r="V37" s="586">
        <f t="shared" si="18"/>
        <v>0</v>
      </c>
      <c r="W37" s="587">
        <v>75000</v>
      </c>
      <c r="Z37" s="369">
        <v>0</v>
      </c>
    </row>
    <row r="38" spans="1:26">
      <c r="A38" s="367">
        <v>38</v>
      </c>
      <c r="B38" s="623" t="s">
        <v>137</v>
      </c>
      <c r="C38" s="609">
        <f>5000+5000+8000+2000</f>
        <v>20000</v>
      </c>
      <c r="D38" s="572">
        <f>2000</f>
        <v>2000</v>
      </c>
      <c r="E38" s="573">
        <v>2000</v>
      </c>
      <c r="F38" s="574">
        <f>SUM(C38:E38)</f>
        <v>24000</v>
      </c>
      <c r="G38" s="572">
        <f>4000+2000</f>
        <v>6000</v>
      </c>
      <c r="H38" s="572">
        <f>-60+5000+2000</f>
        <v>6940</v>
      </c>
      <c r="I38" s="572"/>
      <c r="J38" s="574">
        <f>SUM(G38:I38)</f>
        <v>12940</v>
      </c>
      <c r="K38" s="576"/>
      <c r="L38" s="572"/>
      <c r="M38" s="572"/>
      <c r="N38" s="577">
        <f>SUM(K38:M38)</f>
        <v>0</v>
      </c>
      <c r="O38" s="142"/>
      <c r="P38" s="142"/>
      <c r="Q38" s="142"/>
      <c r="R38" s="577">
        <f>SUM(O38:Q38)</f>
        <v>0</v>
      </c>
      <c r="S38" s="586">
        <f>F38</f>
        <v>24000</v>
      </c>
      <c r="T38" s="586">
        <f>F38+J38</f>
        <v>36940</v>
      </c>
      <c r="U38" s="586">
        <f>F38+J38+N38</f>
        <v>36940</v>
      </c>
      <c r="V38" s="586">
        <f>F38+J38+N38+R38</f>
        <v>36940</v>
      </c>
      <c r="W38" s="587">
        <v>38000</v>
      </c>
      <c r="Z38" s="369">
        <v>42500</v>
      </c>
    </row>
    <row r="39" spans="1:26">
      <c r="A39" s="367">
        <v>39</v>
      </c>
      <c r="B39" s="623" t="s">
        <v>54</v>
      </c>
      <c r="C39" s="609"/>
      <c r="D39" s="572"/>
      <c r="E39" s="573">
        <f>7000-3800</f>
        <v>3200</v>
      </c>
      <c r="F39" s="574">
        <f>SUM(C39:E39)</f>
        <v>3200</v>
      </c>
      <c r="G39" s="572"/>
      <c r="H39" s="572"/>
      <c r="I39" s="572"/>
      <c r="J39" s="574">
        <f>SUM(G39:I39)</f>
        <v>0</v>
      </c>
      <c r="K39" s="576"/>
      <c r="L39" s="572"/>
      <c r="M39" s="572"/>
      <c r="N39" s="577">
        <f>SUM(K39:M39)</f>
        <v>0</v>
      </c>
      <c r="O39" s="142"/>
      <c r="P39" s="142"/>
      <c r="Q39" s="142"/>
      <c r="R39" s="577">
        <f>SUM(O39:Q39)</f>
        <v>0</v>
      </c>
      <c r="S39" s="586">
        <f>F39</f>
        <v>3200</v>
      </c>
      <c r="T39" s="586">
        <f>F39+J39</f>
        <v>3200</v>
      </c>
      <c r="U39" s="586">
        <f>F39+J39+N39</f>
        <v>3200</v>
      </c>
      <c r="V39" s="586">
        <f>F39+J39+N39+R39</f>
        <v>3200</v>
      </c>
      <c r="W39" s="587">
        <v>34500</v>
      </c>
      <c r="Z39" s="369">
        <v>20000</v>
      </c>
    </row>
    <row r="40" spans="1:26">
      <c r="A40" s="367">
        <v>40</v>
      </c>
      <c r="B40" s="623" t="s">
        <v>49</v>
      </c>
      <c r="C40" s="609">
        <v>4500</v>
      </c>
      <c r="D40" s="624"/>
      <c r="E40" s="573">
        <f>1500-50</f>
        <v>1450</v>
      </c>
      <c r="F40" s="574">
        <f t="shared" si="19"/>
        <v>5950</v>
      </c>
      <c r="G40" s="572">
        <f>1140+5000</f>
        <v>6140</v>
      </c>
      <c r="H40" s="572">
        <v>6500</v>
      </c>
      <c r="I40" s="572">
        <f>-1600+5000</f>
        <v>3400</v>
      </c>
      <c r="J40" s="574">
        <f t="shared" si="20"/>
        <v>16040</v>
      </c>
      <c r="K40" s="576"/>
      <c r="L40" s="572"/>
      <c r="M40" s="572"/>
      <c r="N40" s="577">
        <f t="shared" si="21"/>
        <v>0</v>
      </c>
      <c r="O40" s="142"/>
      <c r="P40" s="142"/>
      <c r="Q40" s="142"/>
      <c r="R40" s="577">
        <f t="shared" si="14"/>
        <v>0</v>
      </c>
      <c r="S40" s="586">
        <f t="shared" si="15"/>
        <v>5950</v>
      </c>
      <c r="T40" s="586">
        <f t="shared" si="16"/>
        <v>21990</v>
      </c>
      <c r="U40" s="586">
        <f t="shared" si="17"/>
        <v>21990</v>
      </c>
      <c r="V40" s="586">
        <f t="shared" si="18"/>
        <v>21990</v>
      </c>
      <c r="W40" s="587">
        <v>262800</v>
      </c>
      <c r="Z40" s="369">
        <v>157110</v>
      </c>
    </row>
    <row r="41" spans="1:26">
      <c r="A41" s="367">
        <v>41</v>
      </c>
      <c r="B41" s="623" t="s">
        <v>45</v>
      </c>
      <c r="C41" s="609">
        <v>27400</v>
      </c>
      <c r="D41" s="572"/>
      <c r="E41" s="573"/>
      <c r="F41" s="574">
        <f t="shared" si="19"/>
        <v>27400</v>
      </c>
      <c r="G41" s="572"/>
      <c r="H41" s="572">
        <f>10500</f>
        <v>10500</v>
      </c>
      <c r="I41" s="572">
        <f>8500</f>
        <v>8500</v>
      </c>
      <c r="J41" s="574">
        <f t="shared" si="20"/>
        <v>19000</v>
      </c>
      <c r="K41" s="576"/>
      <c r="L41" s="572"/>
      <c r="M41" s="572"/>
      <c r="N41" s="577">
        <f t="shared" si="21"/>
        <v>0</v>
      </c>
      <c r="O41" s="142"/>
      <c r="P41" s="142"/>
      <c r="Q41" s="625"/>
      <c r="R41" s="577">
        <f t="shared" si="14"/>
        <v>0</v>
      </c>
      <c r="S41" s="586">
        <f t="shared" si="15"/>
        <v>27400</v>
      </c>
      <c r="T41" s="586">
        <f t="shared" si="16"/>
        <v>46400</v>
      </c>
      <c r="U41" s="586">
        <f t="shared" si="17"/>
        <v>46400</v>
      </c>
      <c r="V41" s="586">
        <f t="shared" si="18"/>
        <v>46400</v>
      </c>
      <c r="W41" s="587">
        <v>150000</v>
      </c>
      <c r="Z41" s="369">
        <v>262600</v>
      </c>
    </row>
    <row r="42" spans="1:26">
      <c r="A42" s="367">
        <v>42</v>
      </c>
      <c r="B42" s="623" t="s">
        <v>89</v>
      </c>
      <c r="C42" s="609"/>
      <c r="D42" s="572"/>
      <c r="E42" s="573"/>
      <c r="F42" s="574">
        <f t="shared" si="19"/>
        <v>0</v>
      </c>
      <c r="G42" s="572"/>
      <c r="H42" s="572">
        <f>600</f>
        <v>600</v>
      </c>
      <c r="I42" s="572"/>
      <c r="J42" s="574">
        <f t="shared" si="20"/>
        <v>600</v>
      </c>
      <c r="K42" s="576"/>
      <c r="L42" s="572"/>
      <c r="M42" s="572"/>
      <c r="N42" s="577">
        <f t="shared" si="21"/>
        <v>0</v>
      </c>
      <c r="O42" s="142"/>
      <c r="P42" s="142"/>
      <c r="Q42" s="625"/>
      <c r="R42" s="577">
        <f t="shared" si="14"/>
        <v>0</v>
      </c>
      <c r="S42" s="586">
        <f t="shared" si="15"/>
        <v>0</v>
      </c>
      <c r="T42" s="586">
        <f t="shared" si="16"/>
        <v>600</v>
      </c>
      <c r="U42" s="586">
        <f t="shared" si="17"/>
        <v>600</v>
      </c>
      <c r="V42" s="586">
        <f t="shared" si="18"/>
        <v>600</v>
      </c>
      <c r="W42" s="587">
        <v>50000</v>
      </c>
      <c r="Z42" s="369">
        <v>4500</v>
      </c>
    </row>
    <row r="43" spans="1:26">
      <c r="A43" s="367">
        <v>43</v>
      </c>
      <c r="B43" s="623" t="s">
        <v>55</v>
      </c>
      <c r="C43" s="609"/>
      <c r="D43" s="572">
        <v>16000</v>
      </c>
      <c r="E43" s="573">
        <f>5000</f>
        <v>5000</v>
      </c>
      <c r="F43" s="574">
        <f t="shared" si="19"/>
        <v>21000</v>
      </c>
      <c r="G43" s="572">
        <f>6000+23000-1000</f>
        <v>28000</v>
      </c>
      <c r="H43" s="572"/>
      <c r="I43" s="572"/>
      <c r="J43" s="626">
        <f t="shared" si="20"/>
        <v>28000</v>
      </c>
      <c r="K43" s="576"/>
      <c r="L43" s="572"/>
      <c r="M43" s="572"/>
      <c r="N43" s="577">
        <f t="shared" si="21"/>
        <v>0</v>
      </c>
      <c r="O43" s="142"/>
      <c r="P43" s="142"/>
      <c r="Q43" s="625"/>
      <c r="R43" s="577">
        <f t="shared" si="14"/>
        <v>0</v>
      </c>
      <c r="S43" s="586">
        <f t="shared" si="15"/>
        <v>21000</v>
      </c>
      <c r="T43" s="586">
        <f t="shared" si="16"/>
        <v>49000</v>
      </c>
      <c r="U43" s="586">
        <f t="shared" si="17"/>
        <v>49000</v>
      </c>
      <c r="V43" s="586">
        <f t="shared" si="18"/>
        <v>49000</v>
      </c>
      <c r="W43" s="587">
        <v>281000</v>
      </c>
      <c r="Z43" s="369">
        <v>20900</v>
      </c>
    </row>
    <row r="44" spans="1:26">
      <c r="A44" s="367">
        <v>44</v>
      </c>
      <c r="B44" s="623" t="s">
        <v>134</v>
      </c>
      <c r="C44" s="609"/>
      <c r="D44" s="572"/>
      <c r="E44" s="573"/>
      <c r="F44" s="574">
        <f t="shared" si="19"/>
        <v>0</v>
      </c>
      <c r="G44" s="572"/>
      <c r="H44" s="572"/>
      <c r="I44" s="572"/>
      <c r="J44" s="574">
        <f t="shared" si="20"/>
        <v>0</v>
      </c>
      <c r="K44" s="576"/>
      <c r="L44" s="572"/>
      <c r="M44" s="572"/>
      <c r="N44" s="577">
        <f t="shared" si="21"/>
        <v>0</v>
      </c>
      <c r="O44" s="142"/>
      <c r="P44" s="142"/>
      <c r="Q44" s="142"/>
      <c r="R44" s="577">
        <f>SUM(O44:Q44)</f>
        <v>0</v>
      </c>
      <c r="S44" s="586">
        <f t="shared" si="15"/>
        <v>0</v>
      </c>
      <c r="T44" s="586">
        <f t="shared" si="16"/>
        <v>0</v>
      </c>
      <c r="U44" s="586">
        <f t="shared" si="17"/>
        <v>0</v>
      </c>
      <c r="V44" s="586">
        <f t="shared" si="18"/>
        <v>0</v>
      </c>
      <c r="W44" s="587">
        <v>0</v>
      </c>
      <c r="Z44" s="369">
        <v>0</v>
      </c>
    </row>
    <row r="45" spans="1:26">
      <c r="A45" s="367">
        <v>45</v>
      </c>
      <c r="B45" s="627" t="s">
        <v>44</v>
      </c>
      <c r="C45" s="628"/>
      <c r="D45" s="572"/>
      <c r="E45" s="573"/>
      <c r="F45" s="574">
        <f>SUM(C45:E45)</f>
        <v>0</v>
      </c>
      <c r="G45" s="572">
        <f>-30000+30000+3000</f>
        <v>3000</v>
      </c>
      <c r="H45" s="572">
        <f>3000</f>
        <v>3000</v>
      </c>
      <c r="I45" s="572"/>
      <c r="J45" s="574">
        <f>SUM(G45:I45)</f>
        <v>6000</v>
      </c>
      <c r="K45" s="576"/>
      <c r="L45" s="572"/>
      <c r="M45" s="572"/>
      <c r="N45" s="577">
        <f>SUM(K45:M45)</f>
        <v>0</v>
      </c>
      <c r="O45" s="142"/>
      <c r="P45" s="594"/>
      <c r="Q45" s="142"/>
      <c r="R45" s="577">
        <f>SUM(O45:Q45)</f>
        <v>0</v>
      </c>
      <c r="S45" s="586">
        <f>F45</f>
        <v>0</v>
      </c>
      <c r="T45" s="586">
        <f>F45+J45</f>
        <v>6000</v>
      </c>
      <c r="U45" s="586">
        <f>F45+J45+N45</f>
        <v>6000</v>
      </c>
      <c r="V45" s="586">
        <f>F45+J45+N45+R45</f>
        <v>6000</v>
      </c>
      <c r="W45" s="587">
        <v>200000</v>
      </c>
      <c r="Z45" s="369">
        <v>193220</v>
      </c>
    </row>
    <row r="46" spans="1:26">
      <c r="A46" s="367">
        <v>46</v>
      </c>
      <c r="B46" s="623" t="s">
        <v>136</v>
      </c>
      <c r="C46" s="609"/>
      <c r="D46" s="572"/>
      <c r="E46" s="573"/>
      <c r="F46" s="574">
        <f t="shared" si="19"/>
        <v>0</v>
      </c>
      <c r="G46" s="572"/>
      <c r="H46" s="572"/>
      <c r="I46" s="572"/>
      <c r="J46" s="574">
        <f t="shared" si="20"/>
        <v>0</v>
      </c>
      <c r="K46" s="576"/>
      <c r="L46" s="572"/>
      <c r="M46" s="572"/>
      <c r="N46" s="577">
        <f t="shared" si="21"/>
        <v>0</v>
      </c>
      <c r="O46" s="142"/>
      <c r="P46" s="142"/>
      <c r="Q46" s="142"/>
      <c r="R46" s="577">
        <f t="shared" si="14"/>
        <v>0</v>
      </c>
      <c r="S46" s="586">
        <f t="shared" si="15"/>
        <v>0</v>
      </c>
      <c r="T46" s="586">
        <f t="shared" si="16"/>
        <v>0</v>
      </c>
      <c r="U46" s="586">
        <f t="shared" si="17"/>
        <v>0</v>
      </c>
      <c r="V46" s="586">
        <f t="shared" si="18"/>
        <v>0</v>
      </c>
      <c r="W46" s="587">
        <v>0</v>
      </c>
      <c r="Z46" s="369">
        <v>0</v>
      </c>
    </row>
    <row r="47" spans="1:26">
      <c r="A47" s="367">
        <v>47</v>
      </c>
      <c r="B47" s="623" t="s">
        <v>5</v>
      </c>
      <c r="C47" s="609">
        <f>2000+4000+4000+5000</f>
        <v>15000</v>
      </c>
      <c r="D47" s="572">
        <f>27500</f>
        <v>27500</v>
      </c>
      <c r="E47" s="573">
        <f>4000+25000</f>
        <v>29000</v>
      </c>
      <c r="F47" s="574">
        <f t="shared" si="19"/>
        <v>71500</v>
      </c>
      <c r="G47" s="572">
        <v>4000</v>
      </c>
      <c r="H47" s="572"/>
      <c r="I47" s="572"/>
      <c r="J47" s="626">
        <f t="shared" si="20"/>
        <v>4000</v>
      </c>
      <c r="K47" s="576"/>
      <c r="L47" s="572"/>
      <c r="M47" s="572"/>
      <c r="N47" s="577">
        <f t="shared" si="21"/>
        <v>0</v>
      </c>
      <c r="O47" s="142"/>
      <c r="P47" s="142"/>
      <c r="Q47" s="625"/>
      <c r="R47" s="577">
        <f t="shared" si="14"/>
        <v>0</v>
      </c>
      <c r="S47" s="586">
        <f t="shared" si="15"/>
        <v>71500</v>
      </c>
      <c r="T47" s="586">
        <f t="shared" si="16"/>
        <v>75500</v>
      </c>
      <c r="U47" s="586">
        <f t="shared" si="17"/>
        <v>75500</v>
      </c>
      <c r="V47" s="586">
        <f t="shared" si="18"/>
        <v>75500</v>
      </c>
      <c r="W47" s="587">
        <v>300000</v>
      </c>
      <c r="Z47" s="369">
        <v>242900</v>
      </c>
    </row>
    <row r="48" spans="1:26">
      <c r="A48" s="367">
        <v>48</v>
      </c>
      <c r="B48" s="623" t="s">
        <v>138</v>
      </c>
      <c r="C48" s="609"/>
      <c r="D48" s="572"/>
      <c r="E48" s="573"/>
      <c r="F48" s="574">
        <f>SUM(C48:E48)</f>
        <v>0</v>
      </c>
      <c r="G48" s="572"/>
      <c r="H48" s="572"/>
      <c r="I48" s="572"/>
      <c r="J48" s="626">
        <f>SUM(G48:I48)</f>
        <v>0</v>
      </c>
      <c r="K48" s="576"/>
      <c r="L48" s="572"/>
      <c r="M48" s="572"/>
      <c r="N48" s="577">
        <f>SUM(K48:M48)</f>
        <v>0</v>
      </c>
      <c r="O48" s="142"/>
      <c r="P48" s="142"/>
      <c r="Q48" s="142"/>
      <c r="R48" s="577">
        <f>SUM(O48:Q48)</f>
        <v>0</v>
      </c>
      <c r="S48" s="586">
        <f>F48</f>
        <v>0</v>
      </c>
      <c r="T48" s="586">
        <f>F48+J48</f>
        <v>0</v>
      </c>
      <c r="U48" s="586">
        <f>F48+J48+N48</f>
        <v>0</v>
      </c>
      <c r="V48" s="586">
        <f>F48+J48+N48+R48</f>
        <v>0</v>
      </c>
      <c r="W48" s="587">
        <v>10000</v>
      </c>
      <c r="Z48" s="369">
        <v>0</v>
      </c>
    </row>
    <row r="49" spans="1:26">
      <c r="A49" s="367">
        <v>49</v>
      </c>
      <c r="B49" s="623" t="s">
        <v>38</v>
      </c>
      <c r="C49" s="609">
        <f>11400</f>
        <v>11400</v>
      </c>
      <c r="D49" s="572"/>
      <c r="E49" s="573">
        <f>20000</f>
        <v>20000</v>
      </c>
      <c r="F49" s="574">
        <f t="shared" si="19"/>
        <v>31400</v>
      </c>
      <c r="G49" s="572"/>
      <c r="H49" s="572"/>
      <c r="I49" s="572"/>
      <c r="J49" s="574">
        <f t="shared" si="20"/>
        <v>0</v>
      </c>
      <c r="K49" s="576"/>
      <c r="L49" s="572"/>
      <c r="M49" s="572"/>
      <c r="N49" s="577">
        <f t="shared" si="21"/>
        <v>0</v>
      </c>
      <c r="O49" s="142"/>
      <c r="P49" s="142"/>
      <c r="Q49" s="625"/>
      <c r="R49" s="577">
        <f t="shared" si="14"/>
        <v>0</v>
      </c>
      <c r="S49" s="586">
        <f t="shared" si="15"/>
        <v>31400</v>
      </c>
      <c r="T49" s="586">
        <f t="shared" si="16"/>
        <v>31400</v>
      </c>
      <c r="U49" s="586">
        <f t="shared" si="17"/>
        <v>31400</v>
      </c>
      <c r="V49" s="586">
        <f t="shared" si="18"/>
        <v>31400</v>
      </c>
      <c r="W49" s="587">
        <v>37800</v>
      </c>
      <c r="Z49" s="369">
        <v>42100</v>
      </c>
    </row>
    <row r="50" spans="1:26">
      <c r="A50" s="367">
        <v>50</v>
      </c>
      <c r="B50" s="623" t="s">
        <v>53</v>
      </c>
      <c r="C50" s="609">
        <v>2500</v>
      </c>
      <c r="D50" s="572"/>
      <c r="E50" s="573"/>
      <c r="F50" s="574">
        <f>SUM(C50:E50)</f>
        <v>2500</v>
      </c>
      <c r="G50" s="572"/>
      <c r="H50" s="572"/>
      <c r="I50" s="572"/>
      <c r="J50" s="574">
        <f>SUM(G50:I50)</f>
        <v>0</v>
      </c>
      <c r="K50" s="576"/>
      <c r="L50" s="572"/>
      <c r="M50" s="572"/>
      <c r="N50" s="577">
        <f>SUM(K50:M50)</f>
        <v>0</v>
      </c>
      <c r="O50" s="142"/>
      <c r="P50" s="142"/>
      <c r="Q50" s="142"/>
      <c r="R50" s="577">
        <f t="shared" ref="R50:R55" si="22">SUM(O50:Q50)</f>
        <v>0</v>
      </c>
      <c r="S50" s="586">
        <f t="shared" ref="S50:S55" si="23">F50</f>
        <v>2500</v>
      </c>
      <c r="T50" s="586">
        <f t="shared" ref="T50:T55" si="24">F50+J50</f>
        <v>2500</v>
      </c>
      <c r="U50" s="586">
        <f t="shared" ref="U50:U55" si="25">F50+J50+N50</f>
        <v>2500</v>
      </c>
      <c r="V50" s="586">
        <f t="shared" ref="V50:V55" si="26">F50+J50+N50+R50</f>
        <v>2500</v>
      </c>
      <c r="W50" s="587">
        <v>8000</v>
      </c>
      <c r="Z50" s="369">
        <v>0</v>
      </c>
    </row>
    <row r="51" spans="1:26">
      <c r="A51" s="367">
        <v>51</v>
      </c>
      <c r="B51" s="627" t="s">
        <v>47</v>
      </c>
      <c r="C51" s="628">
        <v>1500</v>
      </c>
      <c r="D51" s="572">
        <f>1500+1500</f>
        <v>3000</v>
      </c>
      <c r="E51" s="573"/>
      <c r="F51" s="574">
        <f>SUM(C51:E51)</f>
        <v>4500</v>
      </c>
      <c r="G51" s="572">
        <v>1500</v>
      </c>
      <c r="H51" s="572">
        <v>1500</v>
      </c>
      <c r="I51" s="572"/>
      <c r="J51" s="574">
        <f>SUM(G51:I51)</f>
        <v>3000</v>
      </c>
      <c r="K51" s="576"/>
      <c r="L51" s="572"/>
      <c r="M51" s="572"/>
      <c r="N51" s="577">
        <f>SUM(K51:M51)</f>
        <v>0</v>
      </c>
      <c r="O51" s="142"/>
      <c r="P51" s="142"/>
      <c r="Q51" s="142"/>
      <c r="R51" s="577">
        <f t="shared" si="22"/>
        <v>0</v>
      </c>
      <c r="S51" s="586">
        <f t="shared" si="23"/>
        <v>4500</v>
      </c>
      <c r="T51" s="586">
        <f t="shared" si="24"/>
        <v>7500</v>
      </c>
      <c r="U51" s="586">
        <f t="shared" si="25"/>
        <v>7500</v>
      </c>
      <c r="V51" s="586">
        <f t="shared" si="26"/>
        <v>7500</v>
      </c>
      <c r="W51" s="587">
        <v>16000</v>
      </c>
      <c r="Z51" s="369">
        <v>9000</v>
      </c>
    </row>
    <row r="52" spans="1:26">
      <c r="A52" s="367">
        <v>52</v>
      </c>
      <c r="B52" s="623" t="s">
        <v>48</v>
      </c>
      <c r="C52" s="609"/>
      <c r="D52" s="572"/>
      <c r="E52" s="573">
        <f>4000+38000</f>
        <v>42000</v>
      </c>
      <c r="F52" s="574">
        <f>SUM(C52:E52)</f>
        <v>42000</v>
      </c>
      <c r="G52" s="572">
        <v>6000</v>
      </c>
      <c r="H52" s="572"/>
      <c r="I52" s="572"/>
      <c r="J52" s="574">
        <f>SUM(G52:I52)</f>
        <v>6000</v>
      </c>
      <c r="K52" s="576"/>
      <c r="L52" s="572"/>
      <c r="M52" s="572"/>
      <c r="N52" s="577">
        <f>SUM(K52:M52)</f>
        <v>0</v>
      </c>
      <c r="O52" s="142"/>
      <c r="P52" s="142"/>
      <c r="Q52" s="142"/>
      <c r="R52" s="577">
        <f t="shared" si="22"/>
        <v>0</v>
      </c>
      <c r="S52" s="586">
        <f t="shared" si="23"/>
        <v>42000</v>
      </c>
      <c r="T52" s="586">
        <f t="shared" si="24"/>
        <v>48000</v>
      </c>
      <c r="U52" s="586">
        <f t="shared" si="25"/>
        <v>48000</v>
      </c>
      <c r="V52" s="586">
        <f t="shared" si="26"/>
        <v>48000</v>
      </c>
      <c r="W52" s="587">
        <v>80500</v>
      </c>
      <c r="Z52" s="369">
        <v>36200</v>
      </c>
    </row>
    <row r="53" spans="1:26">
      <c r="A53" s="367">
        <v>53</v>
      </c>
      <c r="B53" s="623" t="s">
        <v>51</v>
      </c>
      <c r="C53" s="609">
        <v>10000</v>
      </c>
      <c r="D53" s="609">
        <f>70000*0.7</f>
        <v>49000</v>
      </c>
      <c r="E53" s="573">
        <f>10000</f>
        <v>10000</v>
      </c>
      <c r="F53" s="574">
        <f>SUM(C53:E53)</f>
        <v>69000</v>
      </c>
      <c r="G53" s="572"/>
      <c r="H53" s="572"/>
      <c r="I53" s="572">
        <v>25000</v>
      </c>
      <c r="J53" s="574">
        <f>SUM(G53:I53)</f>
        <v>25000</v>
      </c>
      <c r="K53" s="576"/>
      <c r="L53" s="572"/>
      <c r="M53" s="572"/>
      <c r="N53" s="577">
        <f>SUM(K53:M53)</f>
        <v>0</v>
      </c>
      <c r="O53" s="142"/>
      <c r="P53" s="142"/>
      <c r="Q53" s="142"/>
      <c r="R53" s="577">
        <f t="shared" si="22"/>
        <v>0</v>
      </c>
      <c r="S53" s="586">
        <f t="shared" si="23"/>
        <v>69000</v>
      </c>
      <c r="T53" s="586">
        <f t="shared" si="24"/>
        <v>94000</v>
      </c>
      <c r="U53" s="586">
        <f t="shared" si="25"/>
        <v>94000</v>
      </c>
      <c r="V53" s="586">
        <f t="shared" si="26"/>
        <v>94000</v>
      </c>
      <c r="W53" s="587">
        <v>83000</v>
      </c>
      <c r="Z53" s="369">
        <v>15000</v>
      </c>
    </row>
    <row r="54" spans="1:26">
      <c r="A54" s="367">
        <v>54</v>
      </c>
      <c r="B54" s="623" t="s">
        <v>165</v>
      </c>
      <c r="C54" s="609"/>
      <c r="D54" s="609">
        <f>70000*0.3</f>
        <v>21000</v>
      </c>
      <c r="E54" s="573">
        <f>20000-6600</f>
        <v>13400</v>
      </c>
      <c r="F54" s="574">
        <f>SUM(C54:E54)</f>
        <v>34400</v>
      </c>
      <c r="G54" s="572"/>
      <c r="H54" s="572"/>
      <c r="I54" s="572"/>
      <c r="J54" s="574">
        <f>SUM(G54:I54)</f>
        <v>0</v>
      </c>
      <c r="K54" s="576"/>
      <c r="L54" s="572"/>
      <c r="M54" s="572"/>
      <c r="N54" s="577">
        <f>SUM(K54:M54)</f>
        <v>0</v>
      </c>
      <c r="O54" s="142"/>
      <c r="P54" s="142"/>
      <c r="Q54" s="142"/>
      <c r="R54" s="577">
        <f t="shared" si="22"/>
        <v>0</v>
      </c>
      <c r="S54" s="586">
        <f t="shared" si="23"/>
        <v>34400</v>
      </c>
      <c r="T54" s="586">
        <f t="shared" si="24"/>
        <v>34400</v>
      </c>
      <c r="U54" s="586">
        <f t="shared" si="25"/>
        <v>34400</v>
      </c>
      <c r="V54" s="586">
        <f t="shared" si="26"/>
        <v>34400</v>
      </c>
      <c r="W54" s="587">
        <v>20000</v>
      </c>
      <c r="Z54" s="369">
        <v>60000</v>
      </c>
    </row>
    <row r="55" spans="1:26">
      <c r="A55" s="367">
        <v>55</v>
      </c>
      <c r="B55" s="623" t="s">
        <v>196</v>
      </c>
      <c r="C55" s="609"/>
      <c r="D55" s="572"/>
      <c r="E55" s="573"/>
      <c r="F55" s="574"/>
      <c r="G55" s="572"/>
      <c r="H55" s="572"/>
      <c r="I55" s="572"/>
      <c r="J55" s="574"/>
      <c r="K55" s="576"/>
      <c r="L55" s="572"/>
      <c r="M55" s="572"/>
      <c r="N55" s="577"/>
      <c r="O55" s="142"/>
      <c r="P55" s="142"/>
      <c r="Q55" s="142"/>
      <c r="R55" s="577">
        <f t="shared" si="22"/>
        <v>0</v>
      </c>
      <c r="S55" s="586">
        <f t="shared" si="23"/>
        <v>0</v>
      </c>
      <c r="T55" s="586">
        <f t="shared" si="24"/>
        <v>0</v>
      </c>
      <c r="U55" s="586">
        <f t="shared" si="25"/>
        <v>0</v>
      </c>
      <c r="V55" s="586">
        <f t="shared" si="26"/>
        <v>0</v>
      </c>
      <c r="W55" s="587"/>
      <c r="Z55" s="369">
        <v>0</v>
      </c>
    </row>
    <row r="56" spans="1:26">
      <c r="A56" s="367">
        <v>56</v>
      </c>
      <c r="B56" s="623"/>
      <c r="C56" s="609"/>
      <c r="D56" s="572"/>
      <c r="E56" s="573"/>
      <c r="F56" s="574"/>
      <c r="G56" s="572"/>
      <c r="H56" s="572"/>
      <c r="I56" s="572"/>
      <c r="J56" s="574"/>
      <c r="K56" s="576"/>
      <c r="L56" s="572"/>
      <c r="M56" s="572"/>
      <c r="N56" s="577"/>
      <c r="O56" s="142"/>
      <c r="P56" s="142"/>
      <c r="Q56" s="142"/>
      <c r="R56" s="577"/>
      <c r="S56" s="586"/>
      <c r="T56" s="586"/>
      <c r="U56" s="586"/>
      <c r="V56" s="586"/>
      <c r="W56" s="587"/>
      <c r="Z56" s="369">
        <v>0</v>
      </c>
    </row>
    <row r="57" spans="1:26">
      <c r="A57" s="367">
        <v>57</v>
      </c>
      <c r="B57" s="620" t="s">
        <v>57</v>
      </c>
      <c r="C57" s="629">
        <f>SUM(C58:C60)</f>
        <v>139819.34</v>
      </c>
      <c r="D57" s="574">
        <f>SUM(D58:D61)</f>
        <v>255977.27</v>
      </c>
      <c r="E57" s="621">
        <f>SUM(E58:E61)</f>
        <v>224125.02999999997</v>
      </c>
      <c r="F57" s="574">
        <f>SUM(F58:F61)</f>
        <v>619921.64</v>
      </c>
      <c r="G57" s="574">
        <f>SUM(G58:G60)</f>
        <v>288766.63</v>
      </c>
      <c r="H57" s="574">
        <f t="shared" ref="H57:V57" si="27">SUM(H58:H61)</f>
        <v>204740.63</v>
      </c>
      <c r="I57" s="574">
        <f t="shared" si="27"/>
        <v>181740.63</v>
      </c>
      <c r="J57" s="574">
        <f t="shared" si="27"/>
        <v>675247.89</v>
      </c>
      <c r="K57" s="577">
        <f t="shared" si="27"/>
        <v>0</v>
      </c>
      <c r="L57" s="574">
        <f t="shared" si="27"/>
        <v>0</v>
      </c>
      <c r="M57" s="572">
        <f t="shared" si="27"/>
        <v>0</v>
      </c>
      <c r="N57" s="577">
        <f t="shared" si="27"/>
        <v>0</v>
      </c>
      <c r="O57" s="574">
        <f t="shared" si="27"/>
        <v>0</v>
      </c>
      <c r="P57" s="574">
        <f t="shared" si="27"/>
        <v>0</v>
      </c>
      <c r="Q57" s="574">
        <f t="shared" si="27"/>
        <v>0</v>
      </c>
      <c r="R57" s="577">
        <f t="shared" si="27"/>
        <v>0</v>
      </c>
      <c r="S57" s="586">
        <f t="shared" si="27"/>
        <v>619921.64</v>
      </c>
      <c r="T57" s="586">
        <f t="shared" si="27"/>
        <v>1295169.53</v>
      </c>
      <c r="U57" s="586">
        <f t="shared" si="27"/>
        <v>1295169.53</v>
      </c>
      <c r="V57" s="586">
        <f t="shared" si="27"/>
        <v>1295169.53</v>
      </c>
      <c r="W57" s="592">
        <f>SUM(W58:W60)</f>
        <v>2899812.4</v>
      </c>
      <c r="Z57" s="369">
        <v>2350060.4900000002</v>
      </c>
    </row>
    <row r="58" spans="1:26">
      <c r="A58" s="367">
        <v>58</v>
      </c>
      <c r="B58" s="623" t="s">
        <v>58</v>
      </c>
      <c r="C58" s="628">
        <f>67594.53</f>
        <v>67594.53</v>
      </c>
      <c r="D58" s="572">
        <f>106247.68+39026</f>
        <v>145273.68</v>
      </c>
      <c r="E58" s="573">
        <f>124352.17</f>
        <v>124352.17</v>
      </c>
      <c r="F58" s="574">
        <f t="shared" ref="F58:F92" si="28">SUM(C58:E58)</f>
        <v>337220.38</v>
      </c>
      <c r="G58" s="572">
        <f>99398.13+39026</f>
        <v>138424.13</v>
      </c>
      <c r="H58" s="572">
        <f>99398.13</f>
        <v>99398.13</v>
      </c>
      <c r="I58" s="572">
        <f>99398.13</f>
        <v>99398.13</v>
      </c>
      <c r="J58" s="574">
        <f t="shared" ref="J58:J92" si="29">SUM(G58:I58)</f>
        <v>337220.39</v>
      </c>
      <c r="K58" s="576"/>
      <c r="L58" s="572"/>
      <c r="M58" s="572"/>
      <c r="N58" s="577">
        <f t="shared" ref="N58:N92" si="30">SUM(K58:M58)</f>
        <v>0</v>
      </c>
      <c r="O58" s="142"/>
      <c r="P58" s="142"/>
      <c r="Q58" s="142"/>
      <c r="R58" s="577">
        <f t="shared" ref="R58:R92" si="31">SUM(O58:Q58)</f>
        <v>0</v>
      </c>
      <c r="S58" s="586">
        <f t="shared" si="15"/>
        <v>337220.38</v>
      </c>
      <c r="T58" s="586">
        <f t="shared" si="16"/>
        <v>674440.77</v>
      </c>
      <c r="U58" s="586">
        <f t="shared" si="17"/>
        <v>674440.77</v>
      </c>
      <c r="V58" s="586">
        <f t="shared" si="18"/>
        <v>674440.77</v>
      </c>
      <c r="W58" s="587">
        <v>1635201.09</v>
      </c>
      <c r="Z58" s="369">
        <v>1122230.6300000001</v>
      </c>
    </row>
    <row r="59" spans="1:26">
      <c r="A59" s="367">
        <v>59</v>
      </c>
      <c r="B59" s="623" t="s">
        <v>59</v>
      </c>
      <c r="C59" s="609">
        <f>15000+7000+7000+20000</f>
        <v>49000</v>
      </c>
      <c r="D59" s="609">
        <f>20000+15000+7000+7000+7000+7000+4000</f>
        <v>67000</v>
      </c>
      <c r="E59" s="573">
        <f>65000</f>
        <v>65000</v>
      </c>
      <c r="F59" s="574">
        <f t="shared" si="28"/>
        <v>181000</v>
      </c>
      <c r="G59" s="572">
        <f>41878+45000</f>
        <v>86878</v>
      </c>
      <c r="H59" s="572">
        <f>41878+45000</f>
        <v>86878</v>
      </c>
      <c r="I59" s="572">
        <f>41878+7000+15000</f>
        <v>63878</v>
      </c>
      <c r="J59" s="574">
        <f t="shared" si="29"/>
        <v>237634</v>
      </c>
      <c r="K59" s="576"/>
      <c r="L59" s="572"/>
      <c r="M59" s="572"/>
      <c r="N59" s="577">
        <f t="shared" si="30"/>
        <v>0</v>
      </c>
      <c r="O59" s="142"/>
      <c r="P59" s="142"/>
      <c r="Q59" s="142"/>
      <c r="R59" s="577">
        <f t="shared" si="31"/>
        <v>0</v>
      </c>
      <c r="S59" s="586">
        <f t="shared" si="15"/>
        <v>181000</v>
      </c>
      <c r="T59" s="586">
        <f t="shared" si="16"/>
        <v>418634</v>
      </c>
      <c r="U59" s="586">
        <f t="shared" si="17"/>
        <v>418634</v>
      </c>
      <c r="V59" s="586">
        <f t="shared" si="18"/>
        <v>418634</v>
      </c>
      <c r="W59" s="587">
        <f>420000+370000</f>
        <v>790000</v>
      </c>
      <c r="Z59" s="369">
        <v>464500</v>
      </c>
    </row>
    <row r="60" spans="1:26">
      <c r="A60" s="367">
        <v>60</v>
      </c>
      <c r="B60" s="623" t="s">
        <v>139</v>
      </c>
      <c r="C60" s="609">
        <f>23224.81</f>
        <v>23224.81</v>
      </c>
      <c r="D60" s="572">
        <f>43703.59</f>
        <v>43703.59</v>
      </c>
      <c r="E60" s="573">
        <f>34772.86</f>
        <v>34772.86</v>
      </c>
      <c r="F60" s="574">
        <f t="shared" si="28"/>
        <v>101701.26</v>
      </c>
      <c r="G60" s="572">
        <f>33464.5+30000</f>
        <v>63464.5</v>
      </c>
      <c r="H60" s="572">
        <f>33464.5-15000</f>
        <v>18464.5</v>
      </c>
      <c r="I60" s="572">
        <f>33464.5-15000</f>
        <v>18464.5</v>
      </c>
      <c r="J60" s="574">
        <f t="shared" si="29"/>
        <v>100393.5</v>
      </c>
      <c r="K60" s="559"/>
      <c r="L60" s="572"/>
      <c r="M60" s="572"/>
      <c r="N60" s="577">
        <f t="shared" si="30"/>
        <v>0</v>
      </c>
      <c r="O60" s="142"/>
      <c r="P60" s="142"/>
      <c r="Q60" s="142"/>
      <c r="R60" s="577">
        <f t="shared" si="31"/>
        <v>0</v>
      </c>
      <c r="S60" s="586">
        <f t="shared" si="15"/>
        <v>101701.26</v>
      </c>
      <c r="T60" s="586">
        <f t="shared" si="16"/>
        <v>202094.76</v>
      </c>
      <c r="U60" s="586">
        <f t="shared" si="17"/>
        <v>202094.76</v>
      </c>
      <c r="V60" s="586">
        <f t="shared" si="18"/>
        <v>202094.76</v>
      </c>
      <c r="W60" s="587">
        <v>474611.31</v>
      </c>
      <c r="Z60" s="369">
        <v>266779.86</v>
      </c>
    </row>
    <row r="61" spans="1:26">
      <c r="A61" s="367">
        <v>61</v>
      </c>
      <c r="B61" s="623" t="s">
        <v>167</v>
      </c>
      <c r="C61" s="609"/>
      <c r="D61" s="572"/>
      <c r="E61" s="573"/>
      <c r="F61" s="574">
        <f>SUM(C61:E61)</f>
        <v>0</v>
      </c>
      <c r="G61" s="572"/>
      <c r="H61" s="572"/>
      <c r="I61" s="572"/>
      <c r="J61" s="574">
        <f>SUM(G61:I61)</f>
        <v>0</v>
      </c>
      <c r="K61" s="576"/>
      <c r="L61" s="572"/>
      <c r="M61" s="572"/>
      <c r="N61" s="577">
        <f>SUM(K61:M61)</f>
        <v>0</v>
      </c>
      <c r="O61" s="142"/>
      <c r="P61" s="142"/>
      <c r="Q61" s="142"/>
      <c r="R61" s="577">
        <f>SUM(O61:Q61)</f>
        <v>0</v>
      </c>
      <c r="S61" s="586">
        <f>F61</f>
        <v>0</v>
      </c>
      <c r="T61" s="586">
        <f>F61+J61</f>
        <v>0</v>
      </c>
      <c r="U61" s="586">
        <f>F61+J61+N61</f>
        <v>0</v>
      </c>
      <c r="V61" s="586">
        <f>F61+J61+N61+R61</f>
        <v>0</v>
      </c>
      <c r="W61" s="587"/>
      <c r="Z61" s="369">
        <v>496550</v>
      </c>
    </row>
    <row r="62" spans="1:26">
      <c r="A62" s="367">
        <v>62</v>
      </c>
      <c r="B62" s="620" t="s">
        <v>60</v>
      </c>
      <c r="C62" s="629">
        <f>SUM(C64:C79)</f>
        <v>108354.03</v>
      </c>
      <c r="D62" s="574">
        <f>SUM(D64:D79)</f>
        <v>54914.189250000003</v>
      </c>
      <c r="E62" s="621">
        <f>SUM(E64:E80)</f>
        <v>45361.020000000004</v>
      </c>
      <c r="F62" s="574">
        <f>SUM(F64:F80)</f>
        <v>208629.23925000001</v>
      </c>
      <c r="G62" s="574">
        <f>SUM(G64:G79)</f>
        <v>178883.12</v>
      </c>
      <c r="H62" s="574">
        <f>SUM(H64:H79)</f>
        <v>91038.53</v>
      </c>
      <c r="I62" s="574">
        <f>SUM(I63:I79)</f>
        <v>351189.83</v>
      </c>
      <c r="J62" s="574">
        <f>SUM(J63:J79)</f>
        <v>621111.48</v>
      </c>
      <c r="K62" s="577">
        <f t="shared" ref="K62:V62" si="32">SUM(K63:K79)</f>
        <v>0</v>
      </c>
      <c r="L62" s="574">
        <f t="shared" si="32"/>
        <v>0</v>
      </c>
      <c r="M62" s="572">
        <f t="shared" si="32"/>
        <v>0</v>
      </c>
      <c r="N62" s="577">
        <f t="shared" si="32"/>
        <v>0</v>
      </c>
      <c r="O62" s="574">
        <f t="shared" si="32"/>
        <v>0</v>
      </c>
      <c r="P62" s="574">
        <f t="shared" si="32"/>
        <v>0</v>
      </c>
      <c r="Q62" s="574">
        <f t="shared" si="32"/>
        <v>0</v>
      </c>
      <c r="R62" s="577">
        <f t="shared" si="32"/>
        <v>0</v>
      </c>
      <c r="S62" s="586">
        <f t="shared" si="32"/>
        <v>208629.23925000001</v>
      </c>
      <c r="T62" s="586">
        <f t="shared" si="32"/>
        <v>829740.71924999997</v>
      </c>
      <c r="U62" s="586">
        <f t="shared" si="32"/>
        <v>829740.71924999997</v>
      </c>
      <c r="V62" s="586">
        <f t="shared" si="32"/>
        <v>829740.71924999997</v>
      </c>
      <c r="W62" s="592">
        <f>SUM(W63:W80)</f>
        <v>1068600</v>
      </c>
      <c r="Z62" s="369">
        <v>809411.77</v>
      </c>
    </row>
    <row r="63" spans="1:26">
      <c r="A63" s="367">
        <v>63</v>
      </c>
      <c r="B63" s="623" t="s">
        <v>213</v>
      </c>
      <c r="C63" s="609"/>
      <c r="D63" s="572"/>
      <c r="E63" s="573"/>
      <c r="F63" s="574">
        <f>SUM(C63:E63)</f>
        <v>0</v>
      </c>
      <c r="G63" s="572"/>
      <c r="H63" s="572"/>
      <c r="I63" s="572">
        <f>100000+200000</f>
        <v>300000</v>
      </c>
      <c r="J63" s="574">
        <f>SUM(G63:I63)</f>
        <v>300000</v>
      </c>
      <c r="K63" s="576"/>
      <c r="L63" s="572"/>
      <c r="M63" s="572"/>
      <c r="N63" s="577">
        <f>SUM(K63:M63)</f>
        <v>0</v>
      </c>
      <c r="O63" s="142"/>
      <c r="P63" s="142"/>
      <c r="Q63" s="142"/>
      <c r="R63" s="577">
        <f>SUM(O63:Q63)</f>
        <v>0</v>
      </c>
      <c r="S63" s="586">
        <f>F63</f>
        <v>0</v>
      </c>
      <c r="T63" s="586">
        <f>F63+J63</f>
        <v>300000</v>
      </c>
      <c r="U63" s="586">
        <f>F63+J63+N63</f>
        <v>300000</v>
      </c>
      <c r="V63" s="586">
        <f>F63+J63+N63+R63</f>
        <v>300000</v>
      </c>
      <c r="W63" s="587">
        <v>200000</v>
      </c>
      <c r="Z63" s="369"/>
    </row>
    <row r="64" spans="1:26">
      <c r="A64" s="367">
        <v>64</v>
      </c>
      <c r="B64" s="623" t="s">
        <v>78</v>
      </c>
      <c r="C64" s="609">
        <f>75+3.21+50+50+60+4.5+100+50+50+132+100+976.11+73.21+100+50</f>
        <v>1874.0300000000002</v>
      </c>
      <c r="D64" s="602">
        <f>32+6+50+100+50+40+3+50+50+50+100+50+50+50+160+858.78+64.41+100+50</f>
        <v>1914.19</v>
      </c>
      <c r="E64" s="630">
        <f>56+9.31+100+100+40+3+100+50+50+50+50+50+2500+187.5+50+124+100+63.57+847.64+100</f>
        <v>4631.0200000000004</v>
      </c>
      <c r="F64" s="574">
        <f t="shared" si="28"/>
        <v>8419.2400000000016</v>
      </c>
      <c r="G64" s="572">
        <f>48+10.59+150+50+50+100+50+50+50+100+50+100+989.61+74.22+156+11.7+40+3</f>
        <v>2083.12</v>
      </c>
      <c r="H64" s="572">
        <f>50+50+150+60+4.5+100+50+50+100+50+156+11.7+50+100+50+55.32+737.59+150+40+13.42</f>
        <v>2028.5300000000002</v>
      </c>
      <c r="I64" s="572">
        <f>50+100+7.5+100+100+50+50+100+50+50+12.3+164+86.49+1153.2+150+150+250+56+10.34</f>
        <v>2689.83</v>
      </c>
      <c r="J64" s="574">
        <f>SUM(G64:I64)</f>
        <v>6801.48</v>
      </c>
      <c r="K64" s="576"/>
      <c r="L64" s="572"/>
      <c r="M64" s="572"/>
      <c r="N64" s="577">
        <f t="shared" si="30"/>
        <v>0</v>
      </c>
      <c r="O64" s="631"/>
      <c r="P64" s="142"/>
      <c r="Q64" s="142"/>
      <c r="R64" s="577">
        <f t="shared" si="31"/>
        <v>0</v>
      </c>
      <c r="S64" s="586">
        <f t="shared" si="15"/>
        <v>8419.2400000000016</v>
      </c>
      <c r="T64" s="586">
        <f t="shared" si="16"/>
        <v>15220.720000000001</v>
      </c>
      <c r="U64" s="586">
        <f t="shared" si="17"/>
        <v>15220.720000000001</v>
      </c>
      <c r="V64" s="586">
        <f t="shared" si="18"/>
        <v>15220.720000000001</v>
      </c>
      <c r="W64" s="587">
        <v>22000</v>
      </c>
      <c r="Z64" s="369">
        <v>20986.770000000004</v>
      </c>
    </row>
    <row r="65" spans="1:26">
      <c r="A65" s="367">
        <v>65</v>
      </c>
      <c r="B65" s="623" t="s">
        <v>62</v>
      </c>
      <c r="C65" s="609">
        <f>2000</f>
        <v>2000</v>
      </c>
      <c r="D65" s="572">
        <f>2000+2000</f>
        <v>4000</v>
      </c>
      <c r="E65" s="573"/>
      <c r="F65" s="574">
        <f t="shared" si="28"/>
        <v>6000</v>
      </c>
      <c r="G65" s="572"/>
      <c r="H65" s="572">
        <v>2000</v>
      </c>
      <c r="J65" s="574">
        <f t="shared" si="29"/>
        <v>2000</v>
      </c>
      <c r="K65" s="576"/>
      <c r="L65" s="572"/>
      <c r="M65" s="572"/>
      <c r="N65" s="577">
        <f t="shared" si="30"/>
        <v>0</v>
      </c>
      <c r="O65" s="142"/>
      <c r="P65" s="142"/>
      <c r="Q65" s="142"/>
      <c r="R65" s="577">
        <f t="shared" si="31"/>
        <v>0</v>
      </c>
      <c r="S65" s="586">
        <f t="shared" si="15"/>
        <v>6000</v>
      </c>
      <c r="T65" s="586">
        <f t="shared" si="16"/>
        <v>8000</v>
      </c>
      <c r="U65" s="586">
        <f t="shared" si="17"/>
        <v>8000</v>
      </c>
      <c r="V65" s="586">
        <f t="shared" si="18"/>
        <v>8000</v>
      </c>
      <c r="W65" s="587">
        <v>24000</v>
      </c>
      <c r="Z65" s="369">
        <v>20020</v>
      </c>
    </row>
    <row r="66" spans="1:26">
      <c r="A66" s="367">
        <v>66</v>
      </c>
      <c r="B66" s="623" t="s">
        <v>63</v>
      </c>
      <c r="C66" s="609">
        <f>-1070+6500+3500</f>
        <v>8930</v>
      </c>
      <c r="D66" s="572">
        <f>1000+3500</f>
        <v>4500</v>
      </c>
      <c r="E66" s="573">
        <f>15500+1200-110-1360</f>
        <v>15230</v>
      </c>
      <c r="F66" s="574">
        <f t="shared" si="28"/>
        <v>28660</v>
      </c>
      <c r="G66" s="572">
        <f>9000</f>
        <v>9000</v>
      </c>
      <c r="H66" s="572">
        <f>-190+7000+8000+8000-5000</f>
        <v>17810</v>
      </c>
      <c r="I66" s="572"/>
      <c r="J66" s="574">
        <f t="shared" si="29"/>
        <v>26810</v>
      </c>
      <c r="K66" s="576"/>
      <c r="L66" s="572"/>
      <c r="M66" s="572"/>
      <c r="N66" s="577">
        <f t="shared" si="30"/>
        <v>0</v>
      </c>
      <c r="O66" s="142"/>
      <c r="P66" s="142"/>
      <c r="Q66" s="142"/>
      <c r="R66" s="577">
        <f t="shared" si="31"/>
        <v>0</v>
      </c>
      <c r="S66" s="586">
        <f t="shared" si="15"/>
        <v>28660</v>
      </c>
      <c r="T66" s="586">
        <f t="shared" si="16"/>
        <v>55470</v>
      </c>
      <c r="U66" s="586">
        <f t="shared" si="17"/>
        <v>55470</v>
      </c>
      <c r="V66" s="586">
        <f t="shared" si="18"/>
        <v>55470</v>
      </c>
      <c r="W66" s="587">
        <v>60000</v>
      </c>
      <c r="Z66" s="369">
        <v>80100</v>
      </c>
    </row>
    <row r="67" spans="1:26">
      <c r="A67" s="367">
        <v>67</v>
      </c>
      <c r="B67" s="623" t="s">
        <v>64</v>
      </c>
      <c r="C67" s="609"/>
      <c r="D67" s="572">
        <f>10000</f>
        <v>10000</v>
      </c>
      <c r="E67" s="573"/>
      <c r="F67" s="574">
        <f t="shared" si="28"/>
        <v>10000</v>
      </c>
      <c r="G67" s="572">
        <f>10000+24000+10000+11000+4300+3000+60000</f>
        <v>122300</v>
      </c>
      <c r="H67" s="572">
        <f>-32800+23000</f>
        <v>-9800</v>
      </c>
      <c r="I67" s="572"/>
      <c r="J67" s="574">
        <f t="shared" si="29"/>
        <v>112500</v>
      </c>
      <c r="K67" s="576"/>
      <c r="L67" s="572"/>
      <c r="M67" s="572"/>
      <c r="N67" s="577">
        <f t="shared" si="30"/>
        <v>0</v>
      </c>
      <c r="O67" s="142"/>
      <c r="P67" s="142"/>
      <c r="Q67" s="142"/>
      <c r="R67" s="577">
        <f t="shared" si="31"/>
        <v>0</v>
      </c>
      <c r="S67" s="586">
        <f t="shared" si="15"/>
        <v>10000</v>
      </c>
      <c r="T67" s="586">
        <f t="shared" si="16"/>
        <v>122500</v>
      </c>
      <c r="U67" s="586">
        <f t="shared" si="17"/>
        <v>122500</v>
      </c>
      <c r="V67" s="586">
        <f t="shared" si="18"/>
        <v>122500</v>
      </c>
      <c r="W67" s="587">
        <v>20000</v>
      </c>
      <c r="Z67" s="369">
        <v>11000</v>
      </c>
    </row>
    <row r="68" spans="1:26">
      <c r="A68" s="367">
        <v>68</v>
      </c>
      <c r="B68" s="623" t="s">
        <v>80</v>
      </c>
      <c r="C68" s="609">
        <v>5000</v>
      </c>
      <c r="D68" s="572"/>
      <c r="E68" s="573"/>
      <c r="F68" s="574">
        <f t="shared" si="28"/>
        <v>5000</v>
      </c>
      <c r="G68" s="572"/>
      <c r="H68" s="572">
        <v>15000</v>
      </c>
      <c r="I68" s="572"/>
      <c r="J68" s="574">
        <f t="shared" si="29"/>
        <v>15000</v>
      </c>
      <c r="K68" s="576"/>
      <c r="L68" s="572"/>
      <c r="M68" s="602"/>
      <c r="N68" s="325">
        <f t="shared" si="30"/>
        <v>0</v>
      </c>
      <c r="O68" s="148"/>
      <c r="P68" s="148"/>
      <c r="Q68" s="148"/>
      <c r="R68" s="325">
        <f t="shared" si="31"/>
        <v>0</v>
      </c>
      <c r="S68" s="608">
        <f t="shared" si="15"/>
        <v>5000</v>
      </c>
      <c r="T68" s="608">
        <f t="shared" si="16"/>
        <v>20000</v>
      </c>
      <c r="U68" s="608">
        <f t="shared" si="17"/>
        <v>20000</v>
      </c>
      <c r="V68" s="608">
        <f t="shared" si="18"/>
        <v>20000</v>
      </c>
      <c r="W68" s="587">
        <v>32000</v>
      </c>
      <c r="Z68" s="369">
        <v>0</v>
      </c>
    </row>
    <row r="69" spans="1:26">
      <c r="A69" s="367">
        <v>69</v>
      </c>
      <c r="B69" s="623" t="s">
        <v>79</v>
      </c>
      <c r="C69" s="609">
        <v>10000</v>
      </c>
      <c r="D69" s="572"/>
      <c r="E69" s="573"/>
      <c r="F69" s="574">
        <f t="shared" si="28"/>
        <v>10000</v>
      </c>
      <c r="G69" s="572"/>
      <c r="H69" s="572"/>
      <c r="I69" s="572"/>
      <c r="J69" s="574">
        <f t="shared" si="29"/>
        <v>0</v>
      </c>
      <c r="K69" s="576"/>
      <c r="L69" s="572"/>
      <c r="M69" s="572"/>
      <c r="N69" s="577">
        <f t="shared" si="30"/>
        <v>0</v>
      </c>
      <c r="O69" s="142"/>
      <c r="P69" s="142"/>
      <c r="Q69" s="142"/>
      <c r="R69" s="577">
        <f t="shared" si="31"/>
        <v>0</v>
      </c>
      <c r="S69" s="586">
        <f t="shared" si="15"/>
        <v>10000</v>
      </c>
      <c r="T69" s="586">
        <f t="shared" si="16"/>
        <v>10000</v>
      </c>
      <c r="U69" s="586">
        <f t="shared" si="17"/>
        <v>10000</v>
      </c>
      <c r="V69" s="586">
        <f t="shared" si="18"/>
        <v>10000</v>
      </c>
      <c r="W69" s="587">
        <v>48000</v>
      </c>
      <c r="Z69" s="369">
        <v>15000</v>
      </c>
    </row>
    <row r="70" spans="1:26" ht="31.5">
      <c r="A70" s="367">
        <v>70</v>
      </c>
      <c r="B70" s="627" t="s">
        <v>83</v>
      </c>
      <c r="C70" s="576">
        <f>165*110</f>
        <v>18150</v>
      </c>
      <c r="D70" s="142">
        <f>165*94.54545</f>
        <v>15599.999250000001</v>
      </c>
      <c r="E70" s="576">
        <f>165*94.55-0.75</f>
        <v>15600</v>
      </c>
      <c r="F70" s="574">
        <f t="shared" si="28"/>
        <v>49349.999250000001</v>
      </c>
      <c r="G70" s="576">
        <f>(25500-9900)+5000+6000</f>
        <v>26600</v>
      </c>
      <c r="H70" s="572">
        <f>((25500-9900)*2)+3000</f>
        <v>34200</v>
      </c>
      <c r="I70" s="572">
        <f>26700</f>
        <v>26700</v>
      </c>
      <c r="J70" s="574">
        <f t="shared" si="29"/>
        <v>87500</v>
      </c>
      <c r="K70" s="576"/>
      <c r="L70" s="576"/>
      <c r="M70" s="633"/>
      <c r="N70" s="577">
        <f t="shared" si="30"/>
        <v>0</v>
      </c>
      <c r="O70" s="633"/>
      <c r="P70" s="142"/>
      <c r="Q70" s="142"/>
      <c r="R70" s="577">
        <f t="shared" si="31"/>
        <v>0</v>
      </c>
      <c r="S70" s="586">
        <f t="shared" si="15"/>
        <v>49349.999250000001</v>
      </c>
      <c r="T70" s="586">
        <f t="shared" si="16"/>
        <v>136849.99924999999</v>
      </c>
      <c r="U70" s="586">
        <f t="shared" si="17"/>
        <v>136849.99924999999</v>
      </c>
      <c r="V70" s="586">
        <f t="shared" si="18"/>
        <v>136849.99924999999</v>
      </c>
      <c r="W70" s="587">
        <v>265835.15999999997</v>
      </c>
      <c r="Z70" s="369">
        <v>148225</v>
      </c>
    </row>
    <row r="71" spans="1:26">
      <c r="A71" s="367">
        <v>71</v>
      </c>
      <c r="B71" s="623" t="s">
        <v>82</v>
      </c>
      <c r="C71" s="576">
        <f>(165*60)+6200</f>
        <v>16100</v>
      </c>
      <c r="D71" s="142">
        <f>(165*60)+2500+4000</f>
        <v>16400</v>
      </c>
      <c r="E71" s="576">
        <f>(165*60)</f>
        <v>9900</v>
      </c>
      <c r="F71" s="574">
        <f t="shared" si="28"/>
        <v>42400</v>
      </c>
      <c r="G71" s="576">
        <f>(165*60)+5000+4000</f>
        <v>18900</v>
      </c>
      <c r="H71" s="572">
        <f>(165*60*2)</f>
        <v>19800</v>
      </c>
      <c r="I71" s="572">
        <f>18800</f>
        <v>18800</v>
      </c>
      <c r="J71" s="626">
        <f t="shared" si="29"/>
        <v>57500</v>
      </c>
      <c r="K71" s="576"/>
      <c r="L71" s="576"/>
      <c r="M71" s="633"/>
      <c r="N71" s="577">
        <f t="shared" si="30"/>
        <v>0</v>
      </c>
      <c r="O71" s="633"/>
      <c r="P71" s="142"/>
      <c r="Q71" s="142"/>
      <c r="R71" s="577">
        <f t="shared" si="31"/>
        <v>0</v>
      </c>
      <c r="S71" s="586">
        <f>F71</f>
        <v>42400</v>
      </c>
      <c r="T71" s="586">
        <f>F71+J71</f>
        <v>99900</v>
      </c>
      <c r="U71" s="586">
        <f>F71+J71+N71</f>
        <v>99900</v>
      </c>
      <c r="V71" s="586">
        <f>F71+J71+N71+R71</f>
        <v>99900</v>
      </c>
      <c r="W71" s="587">
        <v>110764.84</v>
      </c>
      <c r="Z71" s="369">
        <v>105890</v>
      </c>
    </row>
    <row r="72" spans="1:26">
      <c r="A72" s="367">
        <v>72</v>
      </c>
      <c r="B72" s="623" t="s">
        <v>65</v>
      </c>
      <c r="C72" s="634"/>
      <c r="D72" s="634"/>
      <c r="E72" s="635"/>
      <c r="F72" s="574">
        <f t="shared" si="28"/>
        <v>0</v>
      </c>
      <c r="G72" s="572"/>
      <c r="H72" s="572"/>
      <c r="I72" s="572"/>
      <c r="J72" s="574">
        <f t="shared" si="29"/>
        <v>0</v>
      </c>
      <c r="K72" s="576"/>
      <c r="L72" s="572"/>
      <c r="M72" s="572"/>
      <c r="N72" s="577">
        <f t="shared" si="30"/>
        <v>0</v>
      </c>
      <c r="O72" s="142"/>
      <c r="P72" s="142"/>
      <c r="Q72" s="142"/>
      <c r="R72" s="577">
        <f t="shared" si="31"/>
        <v>0</v>
      </c>
      <c r="S72" s="586">
        <f>F72</f>
        <v>0</v>
      </c>
      <c r="T72" s="586">
        <f>F72+J72</f>
        <v>0</v>
      </c>
      <c r="U72" s="586">
        <f>F72+J72+N72</f>
        <v>0</v>
      </c>
      <c r="V72" s="586">
        <f>F72+J72+N72+R72</f>
        <v>0</v>
      </c>
      <c r="W72" s="587"/>
      <c r="Z72" s="369">
        <v>0</v>
      </c>
    </row>
    <row r="73" spans="1:26">
      <c r="A73" s="367">
        <v>73</v>
      </c>
      <c r="B73" s="623" t="s">
        <v>85</v>
      </c>
      <c r="C73" s="609"/>
      <c r="D73" s="572"/>
      <c r="E73" s="573"/>
      <c r="F73" s="574">
        <f t="shared" si="28"/>
        <v>0</v>
      </c>
      <c r="G73" s="572"/>
      <c r="H73" s="729"/>
      <c r="I73" s="572"/>
      <c r="J73" s="574">
        <f t="shared" si="29"/>
        <v>0</v>
      </c>
      <c r="K73" s="576"/>
      <c r="L73" s="559"/>
      <c r="M73" s="572"/>
      <c r="N73" s="577">
        <f t="shared" si="30"/>
        <v>0</v>
      </c>
      <c r="O73" s="142"/>
      <c r="P73" s="142"/>
      <c r="Q73" s="142"/>
      <c r="R73" s="577">
        <f t="shared" si="31"/>
        <v>0</v>
      </c>
      <c r="S73" s="586">
        <f>F73</f>
        <v>0</v>
      </c>
      <c r="T73" s="586">
        <f>F73+J73</f>
        <v>0</v>
      </c>
      <c r="U73" s="586">
        <f>F73+J73+N73</f>
        <v>0</v>
      </c>
      <c r="V73" s="586">
        <f>F73+J73+N73+R73</f>
        <v>0</v>
      </c>
      <c r="W73" s="587">
        <v>6000</v>
      </c>
      <c r="Z73" s="369">
        <v>8800</v>
      </c>
    </row>
    <row r="74" spans="1:26" ht="31.5">
      <c r="A74" s="367">
        <v>74</v>
      </c>
      <c r="B74" s="627" t="s">
        <v>216</v>
      </c>
      <c r="C74" s="605">
        <v>2500</v>
      </c>
      <c r="D74" s="572">
        <f>2500</f>
        <v>2500</v>
      </c>
      <c r="E74" s="573"/>
      <c r="F74" s="636">
        <f t="shared" ref="F74:F79" si="33">SUM(C74:E74)</f>
        <v>5000</v>
      </c>
      <c r="G74" s="602"/>
      <c r="H74" s="602">
        <v>10000</v>
      </c>
      <c r="I74" s="602">
        <f>3000</f>
        <v>3000</v>
      </c>
      <c r="J74" s="636">
        <f t="shared" ref="J74:J79" si="34">SUM(G74:I74)</f>
        <v>13000</v>
      </c>
      <c r="K74" s="145"/>
      <c r="L74" s="637"/>
      <c r="M74" s="602"/>
      <c r="N74" s="325">
        <f t="shared" ref="N74:N79" si="35">SUM(K74:M74)</f>
        <v>0</v>
      </c>
      <c r="O74" s="148"/>
      <c r="P74" s="612"/>
      <c r="Q74" s="148"/>
      <c r="R74" s="577">
        <f t="shared" ref="R74:R79" si="36">SUM(O74:Q74)</f>
        <v>0</v>
      </c>
      <c r="S74" s="608">
        <f t="shared" ref="S74:S79" si="37">F74</f>
        <v>5000</v>
      </c>
      <c r="T74" s="608">
        <f t="shared" ref="T74:T79" si="38">F74+J74</f>
        <v>18000</v>
      </c>
      <c r="U74" s="608">
        <f t="shared" ref="U74:U79" si="39">F74+J74+N74</f>
        <v>18000</v>
      </c>
      <c r="V74" s="608">
        <f t="shared" ref="V74:V79" si="40">F74+J74+N74+R74</f>
        <v>18000</v>
      </c>
      <c r="W74" s="587">
        <v>50000</v>
      </c>
      <c r="Z74" s="369">
        <v>90390</v>
      </c>
    </row>
    <row r="75" spans="1:26">
      <c r="A75" s="367">
        <v>75</v>
      </c>
      <c r="B75" s="623" t="s">
        <v>206</v>
      </c>
      <c r="C75" s="609">
        <v>3800</v>
      </c>
      <c r="D75" s="572"/>
      <c r="E75" s="573"/>
      <c r="F75" s="574">
        <f t="shared" si="33"/>
        <v>3800</v>
      </c>
      <c r="G75" s="572"/>
      <c r="H75" s="572"/>
      <c r="I75" s="572"/>
      <c r="J75" s="574">
        <f t="shared" si="34"/>
        <v>0</v>
      </c>
      <c r="K75" s="576"/>
      <c r="L75" s="559"/>
      <c r="M75" s="572"/>
      <c r="N75" s="577">
        <f t="shared" si="35"/>
        <v>0</v>
      </c>
      <c r="O75" s="142"/>
      <c r="P75" s="142"/>
      <c r="Q75" s="142"/>
      <c r="R75" s="577">
        <f t="shared" si="36"/>
        <v>0</v>
      </c>
      <c r="S75" s="586">
        <f t="shared" si="37"/>
        <v>3800</v>
      </c>
      <c r="T75" s="586">
        <f t="shared" si="38"/>
        <v>3800</v>
      </c>
      <c r="U75" s="586">
        <f t="shared" si="39"/>
        <v>3800</v>
      </c>
      <c r="V75" s="586">
        <f t="shared" si="40"/>
        <v>3800</v>
      </c>
      <c r="W75" s="587"/>
      <c r="Z75" s="369">
        <v>22000</v>
      </c>
    </row>
    <row r="76" spans="1:26">
      <c r="A76" s="367">
        <v>76</v>
      </c>
      <c r="B76" s="627" t="s">
        <v>61</v>
      </c>
      <c r="C76" s="638"/>
      <c r="D76" s="572"/>
      <c r="E76" s="573"/>
      <c r="F76" s="574">
        <f t="shared" si="33"/>
        <v>0</v>
      </c>
      <c r="G76" s="572"/>
      <c r="H76" s="572"/>
      <c r="I76" s="572"/>
      <c r="J76" s="574">
        <f t="shared" si="34"/>
        <v>0</v>
      </c>
      <c r="K76" s="576"/>
      <c r="L76" s="559"/>
      <c r="M76" s="572"/>
      <c r="N76" s="577">
        <f t="shared" si="35"/>
        <v>0</v>
      </c>
      <c r="O76" s="142"/>
      <c r="P76" s="142"/>
      <c r="Q76" s="142"/>
      <c r="R76" s="577">
        <f t="shared" si="36"/>
        <v>0</v>
      </c>
      <c r="S76" s="586">
        <f t="shared" si="37"/>
        <v>0</v>
      </c>
      <c r="T76" s="586">
        <f t="shared" si="38"/>
        <v>0</v>
      </c>
      <c r="U76" s="586">
        <f t="shared" si="39"/>
        <v>0</v>
      </c>
      <c r="V76" s="586">
        <f t="shared" si="40"/>
        <v>0</v>
      </c>
      <c r="W76" s="587">
        <v>25000</v>
      </c>
      <c r="Z76" s="369">
        <v>30500</v>
      </c>
    </row>
    <row r="77" spans="1:26">
      <c r="A77" s="367">
        <v>77</v>
      </c>
      <c r="B77" s="623" t="s">
        <v>81</v>
      </c>
      <c r="C77" s="609"/>
      <c r="D77" s="572"/>
      <c r="E77" s="573"/>
      <c r="F77" s="574">
        <f t="shared" si="33"/>
        <v>0</v>
      </c>
      <c r="G77" s="572"/>
      <c r="H77" s="572"/>
      <c r="I77" s="572"/>
      <c r="J77" s="574">
        <f t="shared" si="34"/>
        <v>0</v>
      </c>
      <c r="K77" s="576"/>
      <c r="L77" s="559"/>
      <c r="M77" s="572"/>
      <c r="N77" s="577">
        <f t="shared" si="35"/>
        <v>0</v>
      </c>
      <c r="O77" s="559"/>
      <c r="P77" s="639"/>
      <c r="Q77" s="142"/>
      <c r="R77" s="577">
        <f>SUM(O77:Q77)</f>
        <v>0</v>
      </c>
      <c r="S77" s="586">
        <f t="shared" si="37"/>
        <v>0</v>
      </c>
      <c r="T77" s="586">
        <f t="shared" si="38"/>
        <v>0</v>
      </c>
      <c r="U77" s="586">
        <f t="shared" si="39"/>
        <v>0</v>
      </c>
      <c r="V77" s="586">
        <f t="shared" si="40"/>
        <v>0</v>
      </c>
      <c r="W77" s="587">
        <v>150000</v>
      </c>
      <c r="Z77" s="369">
        <v>205000</v>
      </c>
    </row>
    <row r="78" spans="1:26">
      <c r="A78" s="367">
        <v>78</v>
      </c>
      <c r="B78" s="623" t="s">
        <v>91</v>
      </c>
      <c r="C78" s="628"/>
      <c r="D78" s="581"/>
      <c r="E78" s="573"/>
      <c r="F78" s="574">
        <f t="shared" si="33"/>
        <v>0</v>
      </c>
      <c r="G78" s="572"/>
      <c r="H78" s="572"/>
      <c r="I78" s="572"/>
      <c r="J78" s="574">
        <f t="shared" si="34"/>
        <v>0</v>
      </c>
      <c r="K78" s="576"/>
      <c r="L78" s="559"/>
      <c r="M78" s="572"/>
      <c r="N78" s="577">
        <f t="shared" si="35"/>
        <v>0</v>
      </c>
      <c r="O78" s="142"/>
      <c r="P78" s="142"/>
      <c r="Q78" s="142"/>
      <c r="R78" s="577">
        <f t="shared" si="36"/>
        <v>0</v>
      </c>
      <c r="S78" s="586">
        <f t="shared" si="37"/>
        <v>0</v>
      </c>
      <c r="T78" s="586">
        <f t="shared" si="38"/>
        <v>0</v>
      </c>
      <c r="U78" s="586">
        <f t="shared" si="39"/>
        <v>0</v>
      </c>
      <c r="V78" s="586">
        <f t="shared" si="40"/>
        <v>0</v>
      </c>
      <c r="W78" s="587">
        <v>5000</v>
      </c>
      <c r="Z78" s="369">
        <v>5000</v>
      </c>
    </row>
    <row r="79" spans="1:26" ht="22.5" customHeight="1">
      <c r="A79" s="367">
        <v>79</v>
      </c>
      <c r="B79" s="627" t="s">
        <v>225</v>
      </c>
      <c r="C79" s="609">
        <f>40000</f>
        <v>40000</v>
      </c>
      <c r="D79" s="572"/>
      <c r="E79" s="630"/>
      <c r="F79" s="636">
        <f t="shared" si="33"/>
        <v>40000</v>
      </c>
      <c r="G79" s="602"/>
      <c r="H79" s="602"/>
      <c r="I79" s="602"/>
      <c r="J79" s="640">
        <f t="shared" si="34"/>
        <v>0</v>
      </c>
      <c r="K79" s="145"/>
      <c r="L79" s="602"/>
      <c r="M79" s="602"/>
      <c r="N79" s="325">
        <f t="shared" si="35"/>
        <v>0</v>
      </c>
      <c r="O79" s="148"/>
      <c r="P79" s="148"/>
      <c r="Q79" s="148"/>
      <c r="R79" s="325">
        <f t="shared" si="36"/>
        <v>0</v>
      </c>
      <c r="S79" s="608">
        <f t="shared" si="37"/>
        <v>40000</v>
      </c>
      <c r="T79" s="608">
        <f t="shared" si="38"/>
        <v>40000</v>
      </c>
      <c r="U79" s="608">
        <f t="shared" si="39"/>
        <v>40000</v>
      </c>
      <c r="V79" s="608">
        <f t="shared" si="40"/>
        <v>40000</v>
      </c>
      <c r="W79" s="587">
        <v>50000</v>
      </c>
      <c r="Z79" s="369">
        <v>46500</v>
      </c>
    </row>
    <row r="80" spans="1:26">
      <c r="A80" s="367">
        <v>80</v>
      </c>
      <c r="B80" s="623"/>
      <c r="C80" s="609"/>
      <c r="D80" s="572"/>
      <c r="E80" s="573"/>
      <c r="F80" s="636"/>
      <c r="G80" s="602"/>
      <c r="H80" s="602"/>
      <c r="I80" s="602"/>
      <c r="J80" s="640"/>
      <c r="K80" s="145"/>
      <c r="L80" s="602"/>
      <c r="M80" s="602"/>
      <c r="N80" s="325"/>
      <c r="O80" s="148"/>
      <c r="P80" s="148"/>
      <c r="Q80" s="148"/>
      <c r="R80" s="325"/>
      <c r="S80" s="608"/>
      <c r="T80" s="608"/>
      <c r="U80" s="608"/>
      <c r="V80" s="608"/>
      <c r="W80" s="587"/>
      <c r="Z80" s="369"/>
    </row>
    <row r="81" spans="1:26">
      <c r="A81" s="367">
        <v>81</v>
      </c>
      <c r="B81" s="620" t="s">
        <v>66</v>
      </c>
      <c r="C81" s="641">
        <f>SUM(C82:C87)</f>
        <v>737208</v>
      </c>
      <c r="D81" s="641">
        <f>SUM(D82:D87)</f>
        <v>1100636.3799999999</v>
      </c>
      <c r="E81" s="642">
        <f t="shared" ref="E81:R81" si="41">SUM(E82:E87)</f>
        <v>751311.5</v>
      </c>
      <c r="F81" s="641">
        <f t="shared" si="41"/>
        <v>2589155.88</v>
      </c>
      <c r="G81" s="641">
        <f t="shared" si="41"/>
        <v>284066</v>
      </c>
      <c r="H81" s="641">
        <f>SUM(H82:H87)</f>
        <v>230248</v>
      </c>
      <c r="I81" s="641">
        <f>SUM(I82:I87)</f>
        <v>539527</v>
      </c>
      <c r="J81" s="641">
        <f t="shared" si="41"/>
        <v>1053841</v>
      </c>
      <c r="K81" s="643">
        <f>SUM(K82:K87)</f>
        <v>213000</v>
      </c>
      <c r="L81" s="641">
        <f t="shared" si="41"/>
        <v>0</v>
      </c>
      <c r="M81" s="641">
        <f>SUM(M82:M87)</f>
        <v>0</v>
      </c>
      <c r="N81" s="641">
        <f>SUM(N82:N87)</f>
        <v>213000</v>
      </c>
      <c r="O81" s="641">
        <f>SUM(O82:O87)</f>
        <v>0</v>
      </c>
      <c r="P81" s="641">
        <f t="shared" si="41"/>
        <v>0</v>
      </c>
      <c r="Q81" s="641">
        <f t="shared" si="41"/>
        <v>0</v>
      </c>
      <c r="R81" s="641">
        <f t="shared" si="41"/>
        <v>0</v>
      </c>
      <c r="S81" s="586">
        <f>SUM(S82:S87)</f>
        <v>2589155.88</v>
      </c>
      <c r="T81" s="586">
        <f>SUM(T82:T87)</f>
        <v>3642996.88</v>
      </c>
      <c r="U81" s="586">
        <f>SUM(U82:U87)</f>
        <v>3855996.88</v>
      </c>
      <c r="V81" s="586">
        <f>SUM(V82:V87)</f>
        <v>3855996.88</v>
      </c>
      <c r="W81" s="592">
        <f>SUM(W82:W88)</f>
        <v>4152000</v>
      </c>
      <c r="Z81" s="369">
        <v>1841010</v>
      </c>
    </row>
    <row r="82" spans="1:26">
      <c r="A82" s="367">
        <v>82</v>
      </c>
      <c r="B82" s="623" t="s">
        <v>86</v>
      </c>
      <c r="C82" s="609">
        <v>8</v>
      </c>
      <c r="D82" s="572">
        <f>53.75+50+52+26.88+53.75+100</f>
        <v>336.38</v>
      </c>
      <c r="E82" s="573">
        <f>50+50+53.75+50+50+53.75+124+50</f>
        <v>481.5</v>
      </c>
      <c r="F82" s="574">
        <f t="shared" si="28"/>
        <v>825.88</v>
      </c>
      <c r="G82" s="572">
        <f>50+16</f>
        <v>66</v>
      </c>
      <c r="H82" s="572">
        <f>100+50+50+48</f>
        <v>248</v>
      </c>
      <c r="I82" s="572">
        <f>3225+50+50+50+50+50+52</f>
        <v>3527</v>
      </c>
      <c r="J82" s="574">
        <f t="shared" si="29"/>
        <v>3841</v>
      </c>
      <c r="K82" s="576"/>
      <c r="L82" s="572"/>
      <c r="M82" s="572"/>
      <c r="N82" s="577">
        <f>SUM(K82:M82)</f>
        <v>0</v>
      </c>
      <c r="O82" s="142"/>
      <c r="P82" s="142"/>
      <c r="Q82" s="142"/>
      <c r="R82" s="577">
        <f>SUM(O82:Q82)</f>
        <v>0</v>
      </c>
      <c r="S82" s="586">
        <f t="shared" ref="S82:S112" si="42">F82</f>
        <v>825.88</v>
      </c>
      <c r="T82" s="586">
        <f t="shared" ref="T82:T87" si="43">F82+J82</f>
        <v>4666.88</v>
      </c>
      <c r="U82" s="586">
        <f t="shared" ref="U82:U87" si="44">F82+J82+N82</f>
        <v>4666.88</v>
      </c>
      <c r="V82" s="586">
        <f t="shared" ref="V82:V87" si="45">F82+J82+N82+R82</f>
        <v>4666.88</v>
      </c>
      <c r="W82" s="587">
        <v>2000</v>
      </c>
      <c r="Z82" s="369">
        <v>1100</v>
      </c>
    </row>
    <row r="83" spans="1:26">
      <c r="A83" s="367">
        <v>83</v>
      </c>
      <c r="B83" s="623" t="s">
        <v>214</v>
      </c>
      <c r="C83" s="634"/>
      <c r="D83" s="572">
        <f>20000+300000</f>
        <v>320000</v>
      </c>
      <c r="E83" s="573">
        <f>197830+25000+13400-15000</f>
        <v>221230</v>
      </c>
      <c r="F83" s="574">
        <f t="shared" si="28"/>
        <v>541230</v>
      </c>
      <c r="G83" s="572">
        <v>20000</v>
      </c>
      <c r="H83" s="572"/>
      <c r="I83" s="572"/>
      <c r="J83" s="574">
        <f t="shared" si="29"/>
        <v>20000</v>
      </c>
      <c r="K83" s="576"/>
      <c r="L83" s="572"/>
      <c r="M83" s="572"/>
      <c r="N83" s="577">
        <f t="shared" si="30"/>
        <v>0</v>
      </c>
      <c r="O83" s="142"/>
      <c r="P83" s="142"/>
      <c r="Q83" s="142"/>
      <c r="R83" s="577">
        <f t="shared" si="31"/>
        <v>0</v>
      </c>
      <c r="S83" s="586">
        <f t="shared" si="42"/>
        <v>541230</v>
      </c>
      <c r="T83" s="586">
        <f t="shared" si="43"/>
        <v>561230</v>
      </c>
      <c r="U83" s="586">
        <f t="shared" si="44"/>
        <v>561230</v>
      </c>
      <c r="V83" s="586">
        <f t="shared" si="45"/>
        <v>561230</v>
      </c>
      <c r="W83" s="587">
        <v>650000</v>
      </c>
      <c r="Z83" s="369">
        <v>0</v>
      </c>
    </row>
    <row r="84" spans="1:26">
      <c r="A84" s="367">
        <v>84</v>
      </c>
      <c r="B84" s="623" t="s">
        <v>109</v>
      </c>
      <c r="C84" s="634"/>
      <c r="D84" s="572"/>
      <c r="E84" s="573"/>
      <c r="F84" s="574">
        <f t="shared" si="28"/>
        <v>0</v>
      </c>
      <c r="G84" s="572"/>
      <c r="H84" s="572"/>
      <c r="I84" s="572"/>
      <c r="J84" s="574">
        <f t="shared" si="29"/>
        <v>0</v>
      </c>
      <c r="K84" s="576"/>
      <c r="L84" s="572"/>
      <c r="M84" s="572"/>
      <c r="N84" s="577">
        <f t="shared" si="30"/>
        <v>0</v>
      </c>
      <c r="O84" s="142"/>
      <c r="P84" s="142"/>
      <c r="Q84" s="142"/>
      <c r="R84" s="577">
        <f t="shared" si="31"/>
        <v>0</v>
      </c>
      <c r="S84" s="586">
        <f t="shared" si="42"/>
        <v>0</v>
      </c>
      <c r="T84" s="586">
        <f t="shared" si="43"/>
        <v>0</v>
      </c>
      <c r="U84" s="586">
        <f t="shared" si="44"/>
        <v>0</v>
      </c>
      <c r="V84" s="586">
        <f t="shared" si="45"/>
        <v>0</v>
      </c>
      <c r="W84" s="587"/>
      <c r="Z84" s="369">
        <v>0</v>
      </c>
    </row>
    <row r="85" spans="1:26">
      <c r="A85" s="367">
        <v>85</v>
      </c>
      <c r="B85" s="623" t="s">
        <v>122</v>
      </c>
      <c r="C85" s="634"/>
      <c r="D85" s="572">
        <f>2600*8</f>
        <v>20800</v>
      </c>
      <c r="E85" s="573"/>
      <c r="F85" s="574">
        <f t="shared" si="28"/>
        <v>20800</v>
      </c>
      <c r="G85" s="572"/>
      <c r="H85" s="572"/>
      <c r="I85" s="572"/>
      <c r="J85" s="574">
        <f t="shared" si="29"/>
        <v>0</v>
      </c>
      <c r="K85" s="576"/>
      <c r="L85" s="572"/>
      <c r="M85" s="572"/>
      <c r="N85" s="577">
        <f>SUM(K85:M85)</f>
        <v>0</v>
      </c>
      <c r="O85" s="142"/>
      <c r="P85" s="142"/>
      <c r="Q85" s="142"/>
      <c r="R85" s="577">
        <f>SUM(O85:Q85)</f>
        <v>0</v>
      </c>
      <c r="S85" s="586">
        <f>F85</f>
        <v>20800</v>
      </c>
      <c r="T85" s="586">
        <f t="shared" si="43"/>
        <v>20800</v>
      </c>
      <c r="U85" s="586">
        <f t="shared" si="44"/>
        <v>20800</v>
      </c>
      <c r="V85" s="586">
        <f t="shared" si="45"/>
        <v>20800</v>
      </c>
      <c r="W85" s="587">
        <v>0</v>
      </c>
      <c r="Z85" s="369">
        <v>0</v>
      </c>
    </row>
    <row r="86" spans="1:26" s="646" customFormat="1">
      <c r="A86" s="367">
        <v>86</v>
      </c>
      <c r="B86" s="623" t="s">
        <v>221</v>
      </c>
      <c r="C86" s="644">
        <f>135200+192500+150000+259500</f>
        <v>737200</v>
      </c>
      <c r="D86" s="602">
        <f>515000+146500+100000-2000</f>
        <v>759500</v>
      </c>
      <c r="E86" s="630">
        <f>80000+89000+299000-25000-13400+100000</f>
        <v>529600</v>
      </c>
      <c r="F86" s="636">
        <f>SUM(C86:E86)</f>
        <v>2026300</v>
      </c>
      <c r="G86" s="602">
        <f>204000+80000-20000</f>
        <v>264000</v>
      </c>
      <c r="H86" s="602">
        <f>100000+130000</f>
        <v>230000</v>
      </c>
      <c r="I86" s="602">
        <f>206000+150000+180000</f>
        <v>536000</v>
      </c>
      <c r="J86" s="636">
        <f>SUM(G86:I86)</f>
        <v>1030000</v>
      </c>
      <c r="K86" s="145">
        <f>213000</f>
        <v>213000</v>
      </c>
      <c r="L86" s="602"/>
      <c r="M86" s="602"/>
      <c r="N86" s="325">
        <f>SUM(K86:M86)</f>
        <v>213000</v>
      </c>
      <c r="O86" s="145"/>
      <c r="P86" s="145"/>
      <c r="Q86" s="145"/>
      <c r="R86" s="325">
        <f>SUM(O86:Q86)</f>
        <v>0</v>
      </c>
      <c r="S86" s="645">
        <f>F86</f>
        <v>2026300</v>
      </c>
      <c r="T86" s="645">
        <f t="shared" si="43"/>
        <v>3056300</v>
      </c>
      <c r="U86" s="645">
        <f t="shared" si="44"/>
        <v>3269300</v>
      </c>
      <c r="V86" s="645">
        <f t="shared" si="45"/>
        <v>3269300</v>
      </c>
      <c r="W86" s="587">
        <v>3500000</v>
      </c>
      <c r="Z86" s="647">
        <v>1839910</v>
      </c>
    </row>
    <row r="87" spans="1:26">
      <c r="A87" s="367">
        <v>87</v>
      </c>
      <c r="B87" s="623" t="s">
        <v>195</v>
      </c>
      <c r="C87" s="609"/>
      <c r="D87" s="572"/>
      <c r="E87" s="573"/>
      <c r="F87" s="636">
        <f>SUM(C87:E87)</f>
        <v>0</v>
      </c>
      <c r="G87" s="602"/>
      <c r="H87" s="602"/>
      <c r="I87" s="602"/>
      <c r="J87" s="640">
        <f>SUM(G87:I87)</f>
        <v>0</v>
      </c>
      <c r="K87" s="145"/>
      <c r="L87" s="602"/>
      <c r="M87" s="602"/>
      <c r="N87" s="325">
        <f>SUM(K87:M87)</f>
        <v>0</v>
      </c>
      <c r="O87" s="148"/>
      <c r="P87" s="148"/>
      <c r="Q87" s="148"/>
      <c r="R87" s="325">
        <f>SUM(O87:Q87)</f>
        <v>0</v>
      </c>
      <c r="S87" s="608">
        <f>F87</f>
        <v>0</v>
      </c>
      <c r="T87" s="608">
        <f t="shared" si="43"/>
        <v>0</v>
      </c>
      <c r="U87" s="608">
        <f t="shared" si="44"/>
        <v>0</v>
      </c>
      <c r="V87" s="608">
        <f t="shared" si="45"/>
        <v>0</v>
      </c>
      <c r="W87" s="587"/>
      <c r="Z87" s="369">
        <v>0</v>
      </c>
    </row>
    <row r="88" spans="1:26">
      <c r="A88" s="367">
        <v>88</v>
      </c>
      <c r="B88" s="623"/>
      <c r="C88" s="690"/>
      <c r="D88" s="572"/>
      <c r="E88" s="573"/>
      <c r="F88" s="574"/>
      <c r="G88" s="572"/>
      <c r="H88" s="572"/>
      <c r="I88" s="572"/>
      <c r="J88" s="574"/>
      <c r="K88" s="576"/>
      <c r="L88" s="572"/>
      <c r="M88" s="572"/>
      <c r="N88" s="577"/>
      <c r="O88" s="142"/>
      <c r="P88" s="142"/>
      <c r="Q88" s="142"/>
      <c r="R88" s="577"/>
      <c r="S88" s="586"/>
      <c r="T88" s="586"/>
      <c r="U88" s="586"/>
      <c r="V88" s="586"/>
      <c r="W88" s="587"/>
      <c r="Z88" s="369"/>
    </row>
    <row r="89" spans="1:26">
      <c r="A89" s="367">
        <v>89</v>
      </c>
      <c r="B89" s="620" t="s">
        <v>67</v>
      </c>
      <c r="C89" s="641">
        <f>SUM(C90:C92)</f>
        <v>0</v>
      </c>
      <c r="D89" s="641">
        <f>SUM(D90:D92)</f>
        <v>0</v>
      </c>
      <c r="E89" s="642">
        <f>SUM(E90:E92)</f>
        <v>418510.1</v>
      </c>
      <c r="F89" s="641">
        <f>SUM(F90:F92)</f>
        <v>418510.1</v>
      </c>
      <c r="G89" s="641">
        <f t="shared" ref="G89:Q89" si="46">SUM(G90:G92)</f>
        <v>0</v>
      </c>
      <c r="H89" s="641">
        <f t="shared" si="46"/>
        <v>96146.5</v>
      </c>
      <c r="I89" s="641">
        <f t="shared" si="46"/>
        <v>403819.10000000003</v>
      </c>
      <c r="J89" s="641">
        <f t="shared" si="46"/>
        <v>499965.60000000003</v>
      </c>
      <c r="K89" s="643">
        <f t="shared" si="46"/>
        <v>0</v>
      </c>
      <c r="L89" s="641">
        <f t="shared" si="46"/>
        <v>0</v>
      </c>
      <c r="M89" s="641">
        <f t="shared" si="46"/>
        <v>0</v>
      </c>
      <c r="N89" s="648">
        <f>SUM(N90:N92)</f>
        <v>0</v>
      </c>
      <c r="O89" s="641">
        <f t="shared" si="46"/>
        <v>0</v>
      </c>
      <c r="P89" s="641">
        <f t="shared" si="46"/>
        <v>0</v>
      </c>
      <c r="Q89" s="641">
        <f t="shared" si="46"/>
        <v>0</v>
      </c>
      <c r="R89" s="648">
        <f>SUM(R90:R92)</f>
        <v>0</v>
      </c>
      <c r="S89" s="586">
        <f t="shared" si="42"/>
        <v>418510.1</v>
      </c>
      <c r="T89" s="586">
        <f>F89+J89</f>
        <v>918475.7</v>
      </c>
      <c r="U89" s="586">
        <f>F89+J89+N89</f>
        <v>918475.7</v>
      </c>
      <c r="V89" s="586">
        <f>F89+J89+N89+R89</f>
        <v>918475.7</v>
      </c>
      <c r="W89" s="592">
        <f>SUM(W90:W92)</f>
        <v>2421000</v>
      </c>
      <c r="Z89" s="369">
        <v>1896466.1</v>
      </c>
    </row>
    <row r="90" spans="1:26" ht="31.5">
      <c r="A90" s="367">
        <v>90</v>
      </c>
      <c r="B90" s="627" t="s">
        <v>222</v>
      </c>
      <c r="C90" s="609"/>
      <c r="D90" s="572"/>
      <c r="E90" s="573">
        <f>17153.55+24697.41</f>
        <v>41850.959999999999</v>
      </c>
      <c r="F90" s="574">
        <f t="shared" si="28"/>
        <v>41850.959999999999</v>
      </c>
      <c r="G90" s="581"/>
      <c r="H90" s="572">
        <f>28843.95</f>
        <v>28843.95</v>
      </c>
      <c r="I90" s="572">
        <v>21152.61</v>
      </c>
      <c r="J90" s="574">
        <f t="shared" si="29"/>
        <v>49996.56</v>
      </c>
      <c r="K90" s="576"/>
      <c r="L90" s="572"/>
      <c r="M90" s="572"/>
      <c r="N90" s="577">
        <f>SUM(K90:M90)</f>
        <v>0</v>
      </c>
      <c r="O90" s="142"/>
      <c r="P90" s="142"/>
      <c r="Q90" s="142"/>
      <c r="R90" s="577">
        <f t="shared" si="31"/>
        <v>0</v>
      </c>
      <c r="S90" s="586">
        <f t="shared" si="42"/>
        <v>41850.959999999999</v>
      </c>
      <c r="T90" s="586">
        <f>F90+J90</f>
        <v>91847.51999999999</v>
      </c>
      <c r="U90" s="586">
        <f>F90+J90+N90</f>
        <v>91847.51999999999</v>
      </c>
      <c r="V90" s="586">
        <f>F90+J90+N90+R90</f>
        <v>91847.51999999999</v>
      </c>
      <c r="W90" s="587">
        <v>242100</v>
      </c>
      <c r="Z90" s="369">
        <v>171195.31</v>
      </c>
    </row>
    <row r="91" spans="1:26" ht="31.5">
      <c r="A91" s="367">
        <v>91</v>
      </c>
      <c r="B91" s="627" t="s">
        <v>223</v>
      </c>
      <c r="C91" s="609"/>
      <c r="D91" s="572"/>
      <c r="E91" s="573">
        <f>40024.95+57627.29</f>
        <v>97652.239999999991</v>
      </c>
      <c r="F91" s="574">
        <f t="shared" si="28"/>
        <v>97652.239999999991</v>
      </c>
      <c r="G91" s="572"/>
      <c r="H91" s="572">
        <f>67302.55</f>
        <v>67302.55</v>
      </c>
      <c r="I91" s="572">
        <v>49356.09</v>
      </c>
      <c r="J91" s="574">
        <f t="shared" si="29"/>
        <v>116658.64</v>
      </c>
      <c r="K91" s="576"/>
      <c r="L91" s="572"/>
      <c r="M91" s="572"/>
      <c r="N91" s="577">
        <f t="shared" si="30"/>
        <v>0</v>
      </c>
      <c r="O91" s="142"/>
      <c r="P91" s="142"/>
      <c r="Q91" s="142"/>
      <c r="R91" s="577">
        <f t="shared" si="31"/>
        <v>0</v>
      </c>
      <c r="S91" s="586">
        <f t="shared" si="42"/>
        <v>97652.239999999991</v>
      </c>
      <c r="T91" s="586">
        <f>F91+J91</f>
        <v>214310.88</v>
      </c>
      <c r="U91" s="586">
        <f>F91+J91+N91</f>
        <v>214310.88</v>
      </c>
      <c r="V91" s="586">
        <f>F91+J91+N91+R91</f>
        <v>214310.88</v>
      </c>
      <c r="W91" s="587">
        <v>564900</v>
      </c>
      <c r="Z91" s="369">
        <v>399454.79000000004</v>
      </c>
    </row>
    <row r="92" spans="1:26" ht="31.5">
      <c r="A92" s="367">
        <v>92</v>
      </c>
      <c r="B92" s="627" t="s">
        <v>224</v>
      </c>
      <c r="C92" s="609"/>
      <c r="D92" s="572"/>
      <c r="E92" s="573">
        <f>114357.5+164649.4</f>
        <v>279006.90000000002</v>
      </c>
      <c r="F92" s="574">
        <f t="shared" si="28"/>
        <v>279006.90000000002</v>
      </c>
      <c r="G92" s="572"/>
      <c r="H92" s="572"/>
      <c r="I92" s="572">
        <f>192293+141017.4</f>
        <v>333310.40000000002</v>
      </c>
      <c r="J92" s="574">
        <f t="shared" si="29"/>
        <v>333310.40000000002</v>
      </c>
      <c r="K92" s="576"/>
      <c r="L92" s="572"/>
      <c r="M92" s="572"/>
      <c r="N92" s="577">
        <f t="shared" si="30"/>
        <v>0</v>
      </c>
      <c r="O92" s="142"/>
      <c r="P92" s="142"/>
      <c r="Q92" s="142"/>
      <c r="R92" s="577">
        <f t="shared" si="31"/>
        <v>0</v>
      </c>
      <c r="S92" s="586">
        <f t="shared" si="42"/>
        <v>279006.90000000002</v>
      </c>
      <c r="T92" s="586">
        <f>F92+J92</f>
        <v>612317.30000000005</v>
      </c>
      <c r="U92" s="586">
        <f>F92+J92+N92</f>
        <v>612317.30000000005</v>
      </c>
      <c r="V92" s="586">
        <f>F92+J92+N92+R92</f>
        <v>612317.30000000005</v>
      </c>
      <c r="W92" s="587">
        <v>1614000</v>
      </c>
      <c r="Z92" s="369">
        <v>1325816</v>
      </c>
    </row>
    <row r="93" spans="1:26">
      <c r="A93" s="367">
        <v>93</v>
      </c>
      <c r="B93" s="623"/>
      <c r="C93" s="609"/>
      <c r="D93" s="572"/>
      <c r="E93" s="573"/>
      <c r="F93" s="574"/>
      <c r="G93" s="572"/>
      <c r="H93" s="572"/>
      <c r="I93" s="572"/>
      <c r="J93" s="574"/>
      <c r="K93" s="576"/>
      <c r="L93" s="572"/>
      <c r="M93" s="572"/>
      <c r="N93" s="577"/>
      <c r="O93" s="142"/>
      <c r="P93" s="142"/>
      <c r="Q93" s="142"/>
      <c r="R93" s="577"/>
      <c r="S93" s="586"/>
      <c r="T93" s="586"/>
      <c r="U93" s="586"/>
      <c r="V93" s="586"/>
      <c r="W93" s="587"/>
      <c r="Z93" s="369"/>
    </row>
    <row r="94" spans="1:26">
      <c r="A94" s="367">
        <v>94</v>
      </c>
      <c r="B94" s="620" t="s">
        <v>100</v>
      </c>
      <c r="C94" s="629">
        <f>SUM(C95:C96)</f>
        <v>300000</v>
      </c>
      <c r="D94" s="629">
        <f t="shared" ref="D94:R94" si="47">SUM(D95:D96)</f>
        <v>100000</v>
      </c>
      <c r="E94" s="649">
        <f t="shared" si="47"/>
        <v>0</v>
      </c>
      <c r="F94" s="629">
        <f>SUM(F95:F97)</f>
        <v>0</v>
      </c>
      <c r="G94" s="629">
        <f t="shared" si="47"/>
        <v>100000</v>
      </c>
      <c r="H94" s="629">
        <f t="shared" si="47"/>
        <v>100000</v>
      </c>
      <c r="I94" s="629">
        <f>SUM(I95:I96)</f>
        <v>100000</v>
      </c>
      <c r="J94" s="629">
        <f t="shared" si="47"/>
        <v>0</v>
      </c>
      <c r="K94" s="577">
        <f t="shared" si="47"/>
        <v>0</v>
      </c>
      <c r="L94" s="629">
        <f t="shared" si="47"/>
        <v>0</v>
      </c>
      <c r="M94" s="629">
        <f t="shared" si="47"/>
        <v>0</v>
      </c>
      <c r="N94" s="577">
        <f t="shared" si="47"/>
        <v>0</v>
      </c>
      <c r="O94" s="577">
        <f t="shared" si="47"/>
        <v>0</v>
      </c>
      <c r="P94" s="577">
        <f t="shared" si="47"/>
        <v>0</v>
      </c>
      <c r="Q94" s="577">
        <f t="shared" si="47"/>
        <v>0</v>
      </c>
      <c r="R94" s="577">
        <f t="shared" si="47"/>
        <v>0</v>
      </c>
      <c r="S94" s="586">
        <f>F94</f>
        <v>0</v>
      </c>
      <c r="T94" s="586">
        <f>F94+J94</f>
        <v>0</v>
      </c>
      <c r="U94" s="586">
        <f>F94+J94+N94</f>
        <v>0</v>
      </c>
      <c r="V94" s="586">
        <f>F94+J94+N94+R94</f>
        <v>0</v>
      </c>
      <c r="W94" s="592">
        <f>SUM(W95:W97)</f>
        <v>480000</v>
      </c>
      <c r="Z94" s="369">
        <v>0</v>
      </c>
    </row>
    <row r="95" spans="1:26">
      <c r="A95" s="367">
        <v>95</v>
      </c>
      <c r="B95" s="623" t="s">
        <v>153</v>
      </c>
      <c r="C95" s="609"/>
      <c r="D95" s="572"/>
      <c r="E95" s="573"/>
      <c r="F95" s="574">
        <f>SUM(C95:E95)</f>
        <v>0</v>
      </c>
      <c r="G95" s="572"/>
      <c r="H95" s="572"/>
      <c r="I95" s="572"/>
      <c r="J95" s="574">
        <v>0</v>
      </c>
      <c r="K95" s="576"/>
      <c r="L95" s="572"/>
      <c r="M95" s="572"/>
      <c r="N95" s="577">
        <f>SUM(K95:M95)</f>
        <v>0</v>
      </c>
      <c r="O95" s="142"/>
      <c r="P95" s="142"/>
      <c r="Q95" s="142"/>
      <c r="R95" s="577">
        <f>SUM(O95:Q95)</f>
        <v>0</v>
      </c>
      <c r="S95" s="586">
        <f>F95</f>
        <v>0</v>
      </c>
      <c r="T95" s="586">
        <f>F95+J95</f>
        <v>0</v>
      </c>
      <c r="U95" s="586">
        <f>F95+J95+N95</f>
        <v>0</v>
      </c>
      <c r="V95" s="586">
        <f>F95+J95+N95+R95</f>
        <v>0</v>
      </c>
      <c r="W95" s="587"/>
      <c r="Z95" s="369">
        <v>0</v>
      </c>
    </row>
    <row r="96" spans="1:26">
      <c r="A96" s="367">
        <v>96</v>
      </c>
      <c r="B96" s="623" t="s">
        <v>98</v>
      </c>
      <c r="C96" s="609">
        <v>300000</v>
      </c>
      <c r="D96" s="572">
        <f>100000</f>
        <v>100000</v>
      </c>
      <c r="E96" s="573">
        <v>0</v>
      </c>
      <c r="F96" s="574">
        <f>SUM(C96:E96)-300000-100000</f>
        <v>0</v>
      </c>
      <c r="G96" s="572">
        <v>100000</v>
      </c>
      <c r="H96" s="572">
        <v>100000</v>
      </c>
      <c r="I96" s="572">
        <v>100000</v>
      </c>
      <c r="J96" s="574">
        <f>SUM(G96:I96)-300000</f>
        <v>0</v>
      </c>
      <c r="K96" s="576"/>
      <c r="L96" s="572"/>
      <c r="M96" s="572"/>
      <c r="N96" s="577">
        <f>SUM(K96:M96)</f>
        <v>0</v>
      </c>
      <c r="O96" s="142"/>
      <c r="P96" s="142"/>
      <c r="Q96" s="142"/>
      <c r="R96" s="577">
        <f>SUM(O96:Q96)</f>
        <v>0</v>
      </c>
      <c r="S96" s="586">
        <f>F96</f>
        <v>0</v>
      </c>
      <c r="T96" s="586">
        <f>F96+J96</f>
        <v>0</v>
      </c>
      <c r="U96" s="586">
        <f>F96+J96+N96</f>
        <v>0</v>
      </c>
      <c r="V96" s="586">
        <f>F96+J96+N96+R96</f>
        <v>0</v>
      </c>
      <c r="W96" s="587">
        <v>0</v>
      </c>
      <c r="Z96" s="369">
        <v>0</v>
      </c>
    </row>
    <row r="97" spans="1:26">
      <c r="A97" s="367">
        <v>97</v>
      </c>
      <c r="B97" s="623" t="s">
        <v>215</v>
      </c>
      <c r="C97" s="609"/>
      <c r="D97" s="572"/>
      <c r="E97" s="573"/>
      <c r="F97" s="574">
        <f>SUM(C97:E97)</f>
        <v>0</v>
      </c>
      <c r="G97" s="572"/>
      <c r="H97" s="572"/>
      <c r="I97" s="572"/>
      <c r="J97" s="574">
        <f>SUM(G97:I97)</f>
        <v>0</v>
      </c>
      <c r="K97" s="576"/>
      <c r="L97" s="572"/>
      <c r="M97" s="572"/>
      <c r="N97" s="577">
        <f>SUM(K97:M97)</f>
        <v>0</v>
      </c>
      <c r="O97" s="142"/>
      <c r="P97" s="142"/>
      <c r="Q97" s="142"/>
      <c r="R97" s="577">
        <f>SUM(O97:Q97)</f>
        <v>0</v>
      </c>
      <c r="S97" s="586">
        <f>F97</f>
        <v>0</v>
      </c>
      <c r="T97" s="586">
        <f>F97+J97</f>
        <v>0</v>
      </c>
      <c r="U97" s="586">
        <f>F97+J97+N97</f>
        <v>0</v>
      </c>
      <c r="V97" s="586">
        <f>F97+J97+N97+R97</f>
        <v>0</v>
      </c>
      <c r="W97" s="587">
        <v>480000</v>
      </c>
      <c r="Z97" s="369"/>
    </row>
    <row r="98" spans="1:26">
      <c r="A98" s="367">
        <v>98</v>
      </c>
      <c r="B98" s="620" t="s">
        <v>33</v>
      </c>
      <c r="C98" s="641">
        <f t="shared" ref="C98:V98" si="48">C27+C57+C62+C81+C89+C94</f>
        <v>1381121.37</v>
      </c>
      <c r="D98" s="641">
        <f t="shared" si="48"/>
        <v>1633527.83925</v>
      </c>
      <c r="E98" s="642">
        <f>E27+E57+E62+E81+E89+E94</f>
        <v>1834197.65</v>
      </c>
      <c r="F98" s="641">
        <f t="shared" si="48"/>
        <v>4448846.8592499997</v>
      </c>
      <c r="G98" s="641">
        <f t="shared" si="48"/>
        <v>1010595.75</v>
      </c>
      <c r="H98" s="641">
        <f t="shared" si="48"/>
        <v>807413.66</v>
      </c>
      <c r="I98" s="641">
        <f t="shared" si="48"/>
        <v>1735676.56</v>
      </c>
      <c r="J98" s="641">
        <f t="shared" si="48"/>
        <v>3253685.97</v>
      </c>
      <c r="K98" s="648">
        <f t="shared" si="48"/>
        <v>213000</v>
      </c>
      <c r="L98" s="641">
        <f t="shared" si="48"/>
        <v>0</v>
      </c>
      <c r="M98" s="641">
        <f t="shared" si="48"/>
        <v>0</v>
      </c>
      <c r="N98" s="648">
        <f t="shared" si="48"/>
        <v>213000</v>
      </c>
      <c r="O98" s="648">
        <f t="shared" si="48"/>
        <v>0</v>
      </c>
      <c r="P98" s="648">
        <f t="shared" si="48"/>
        <v>0</v>
      </c>
      <c r="Q98" s="648">
        <f t="shared" si="48"/>
        <v>0</v>
      </c>
      <c r="R98" s="648">
        <f t="shared" si="48"/>
        <v>0</v>
      </c>
      <c r="S98" s="586">
        <f t="shared" si="48"/>
        <v>4448846.8592499997</v>
      </c>
      <c r="T98" s="586">
        <f t="shared" si="48"/>
        <v>7702532.8292500004</v>
      </c>
      <c r="U98" s="586">
        <f t="shared" si="48"/>
        <v>7915532.8292500004</v>
      </c>
      <c r="V98" s="586">
        <f t="shared" si="48"/>
        <v>7915532.8292500004</v>
      </c>
      <c r="W98" s="592">
        <f>W94+W89+W81+W62+W57+W27</f>
        <v>14034012.4</v>
      </c>
      <c r="Z98" s="369">
        <v>8507448.3599999994</v>
      </c>
    </row>
    <row r="99" spans="1:26" s="593" customFormat="1">
      <c r="A99" s="367">
        <v>99</v>
      </c>
      <c r="B99" s="620" t="s">
        <v>125</v>
      </c>
      <c r="C99" s="629">
        <f>SUM(C100:C107)</f>
        <v>1335839.1399999999</v>
      </c>
      <c r="D99" s="629">
        <f t="shared" ref="D99:R99" si="49">SUM(D100:D107)</f>
        <v>1152948.2799999998</v>
      </c>
      <c r="E99" s="649">
        <f>SUM(E100:E107)</f>
        <v>350723.75</v>
      </c>
      <c r="F99" s="629">
        <f>E99</f>
        <v>350723.75</v>
      </c>
      <c r="G99" s="629">
        <f t="shared" si="49"/>
        <v>674860.94</v>
      </c>
      <c r="H99" s="629">
        <f>SUM(H100:H107)</f>
        <v>828206.51</v>
      </c>
      <c r="I99" s="629">
        <f t="shared" si="49"/>
        <v>457630.32</v>
      </c>
      <c r="J99" s="629">
        <f t="shared" si="49"/>
        <v>457630.32</v>
      </c>
      <c r="K99" s="577">
        <f>SUM(K100:K107)</f>
        <v>0</v>
      </c>
      <c r="L99" s="629">
        <f t="shared" si="49"/>
        <v>0</v>
      </c>
      <c r="M99" s="629">
        <f>SUM(M100:M107)</f>
        <v>0</v>
      </c>
      <c r="N99" s="577">
        <f t="shared" si="49"/>
        <v>0</v>
      </c>
      <c r="O99" s="577">
        <f>SUM(O100:O107)</f>
        <v>0</v>
      </c>
      <c r="P99" s="577">
        <f t="shared" si="49"/>
        <v>0</v>
      </c>
      <c r="Q99" s="577">
        <f>SUM(Q100:Q107)</f>
        <v>0</v>
      </c>
      <c r="R99" s="577">
        <f t="shared" si="49"/>
        <v>0</v>
      </c>
      <c r="S99" s="586">
        <f t="shared" si="42"/>
        <v>350723.75</v>
      </c>
      <c r="T99" s="586">
        <f>J99</f>
        <v>457630.32</v>
      </c>
      <c r="U99" s="586">
        <f>N99</f>
        <v>0</v>
      </c>
      <c r="V99" s="586">
        <f t="shared" ref="V99:V107" si="50">Q99</f>
        <v>0</v>
      </c>
      <c r="W99" s="592"/>
      <c r="Z99" s="567">
        <v>956723.78999999992</v>
      </c>
    </row>
    <row r="100" spans="1:26">
      <c r="A100" s="367">
        <v>100</v>
      </c>
      <c r="B100" s="623" t="s">
        <v>74</v>
      </c>
      <c r="C100" s="609">
        <v>413591.91</v>
      </c>
      <c r="D100" s="572">
        <v>403815.45</v>
      </c>
      <c r="E100" s="650">
        <v>172876.9</v>
      </c>
      <c r="F100" s="629">
        <f t="shared" ref="F100:F107" si="51">E100</f>
        <v>172876.9</v>
      </c>
      <c r="G100" s="572">
        <v>94865.45</v>
      </c>
      <c r="H100" s="572">
        <v>240423.21</v>
      </c>
      <c r="I100" s="572">
        <v>87926.99</v>
      </c>
      <c r="J100" s="574">
        <f t="shared" ref="J100:J107" si="52">I100</f>
        <v>87926.99</v>
      </c>
      <c r="K100" s="576"/>
      <c r="L100" s="572"/>
      <c r="M100" s="572"/>
      <c r="N100" s="577">
        <f t="shared" ref="N100:N106" si="53">M100</f>
        <v>0</v>
      </c>
      <c r="O100" s="576"/>
      <c r="P100" s="576"/>
      <c r="Q100" s="576"/>
      <c r="R100" s="577">
        <f t="shared" ref="R100:R107" si="54">Q100</f>
        <v>0</v>
      </c>
      <c r="S100" s="586">
        <f t="shared" si="42"/>
        <v>172876.9</v>
      </c>
      <c r="T100" s="586">
        <f>J100</f>
        <v>87926.99</v>
      </c>
      <c r="U100" s="586">
        <f t="shared" ref="U100:U107" si="55">N100</f>
        <v>0</v>
      </c>
      <c r="V100" s="586">
        <f t="shared" si="50"/>
        <v>0</v>
      </c>
      <c r="W100" s="587"/>
      <c r="Z100" s="369">
        <v>233476.82</v>
      </c>
    </row>
    <row r="101" spans="1:26">
      <c r="A101" s="367">
        <v>101</v>
      </c>
      <c r="B101" s="623" t="s">
        <v>141</v>
      </c>
      <c r="C101" s="609">
        <v>131420</v>
      </c>
      <c r="D101" s="624">
        <f>69900+23355+4460+5075+500+100000</f>
        <v>203290</v>
      </c>
      <c r="E101" s="650">
        <v>0</v>
      </c>
      <c r="F101" s="629">
        <f t="shared" si="51"/>
        <v>0</v>
      </c>
      <c r="G101" s="572">
        <v>0</v>
      </c>
      <c r="H101" s="572"/>
      <c r="I101" s="572">
        <v>0</v>
      </c>
      <c r="J101" s="574">
        <f t="shared" si="52"/>
        <v>0</v>
      </c>
      <c r="K101" s="576"/>
      <c r="L101" s="572"/>
      <c r="M101" s="572"/>
      <c r="N101" s="577">
        <f t="shared" si="53"/>
        <v>0</v>
      </c>
      <c r="O101" s="576"/>
      <c r="P101" s="576"/>
      <c r="Q101" s="576"/>
      <c r="R101" s="577">
        <f t="shared" si="54"/>
        <v>0</v>
      </c>
      <c r="S101" s="586">
        <f>F101</f>
        <v>0</v>
      </c>
      <c r="T101" s="586">
        <f>G101</f>
        <v>0</v>
      </c>
      <c r="U101" s="586">
        <f t="shared" si="55"/>
        <v>0</v>
      </c>
      <c r="V101" s="586">
        <f t="shared" si="50"/>
        <v>0</v>
      </c>
      <c r="W101" s="587"/>
      <c r="Z101" s="369">
        <v>6500</v>
      </c>
    </row>
    <row r="102" spans="1:26">
      <c r="A102" s="367">
        <v>102</v>
      </c>
      <c r="B102" s="623" t="s">
        <v>140</v>
      </c>
      <c r="C102" s="581">
        <f>-300000-31800-1000</f>
        <v>-332800</v>
      </c>
      <c r="D102" s="624">
        <f>-100000</f>
        <v>-100000</v>
      </c>
      <c r="E102" s="692">
        <f>-57627.29-10000</f>
        <v>-67627.290000000008</v>
      </c>
      <c r="F102" s="596">
        <f t="shared" si="51"/>
        <v>-67627.290000000008</v>
      </c>
      <c r="G102" s="572">
        <v>0</v>
      </c>
      <c r="H102" s="572"/>
      <c r="I102" s="624">
        <v>-2500</v>
      </c>
      <c r="J102" s="626">
        <f t="shared" si="52"/>
        <v>-2500</v>
      </c>
      <c r="K102" s="576"/>
      <c r="L102" s="624"/>
      <c r="M102" s="572"/>
      <c r="N102" s="577">
        <f t="shared" si="53"/>
        <v>0</v>
      </c>
      <c r="O102" s="576"/>
      <c r="P102" s="576"/>
      <c r="Q102" s="576"/>
      <c r="R102" s="577">
        <f t="shared" si="54"/>
        <v>0</v>
      </c>
      <c r="S102" s="586">
        <f>F102</f>
        <v>-67627.290000000008</v>
      </c>
      <c r="T102" s="586">
        <f>G102</f>
        <v>0</v>
      </c>
      <c r="U102" s="586">
        <f t="shared" si="55"/>
        <v>0</v>
      </c>
      <c r="V102" s="586">
        <f t="shared" si="50"/>
        <v>0</v>
      </c>
      <c r="W102" s="587"/>
      <c r="Z102" s="369">
        <v>0</v>
      </c>
    </row>
    <row r="103" spans="1:26">
      <c r="A103" s="367">
        <v>103</v>
      </c>
      <c r="B103" s="623" t="s">
        <v>6</v>
      </c>
      <c r="C103" s="609">
        <v>33911.160000000003</v>
      </c>
      <c r="D103" s="572">
        <f>48413.14+8050</f>
        <v>56463.14</v>
      </c>
      <c r="E103" s="650">
        <f>54060.95+4845</f>
        <v>58905.95</v>
      </c>
      <c r="F103" s="629">
        <f t="shared" si="51"/>
        <v>58905.95</v>
      </c>
      <c r="G103" s="572">
        <f>78493.3</f>
        <v>78493.3</v>
      </c>
      <c r="H103" s="572">
        <v>95529.11</v>
      </c>
      <c r="I103" s="572">
        <f>42566.14+4410+2500</f>
        <v>49476.14</v>
      </c>
      <c r="J103" s="574">
        <f t="shared" si="52"/>
        <v>49476.14</v>
      </c>
      <c r="K103" s="576"/>
      <c r="L103" s="572"/>
      <c r="M103" s="572"/>
      <c r="N103" s="577">
        <f t="shared" si="53"/>
        <v>0</v>
      </c>
      <c r="O103" s="576"/>
      <c r="P103" s="576"/>
      <c r="Q103" s="576"/>
      <c r="R103" s="577">
        <f t="shared" si="54"/>
        <v>0</v>
      </c>
      <c r="S103" s="586">
        <f t="shared" si="42"/>
        <v>58905.95</v>
      </c>
      <c r="T103" s="586">
        <f>J103</f>
        <v>49476.14</v>
      </c>
      <c r="U103" s="586">
        <f t="shared" si="55"/>
        <v>0</v>
      </c>
      <c r="V103" s="586">
        <f t="shared" si="50"/>
        <v>0</v>
      </c>
      <c r="W103" s="587"/>
      <c r="Z103" s="369">
        <v>19152.900000000001</v>
      </c>
    </row>
    <row r="104" spans="1:26">
      <c r="A104" s="367">
        <v>104</v>
      </c>
      <c r="B104" s="623" t="s">
        <v>32</v>
      </c>
      <c r="C104" s="609">
        <v>1521416.07</v>
      </c>
      <c r="D104" s="572">
        <v>578879.68999999994</v>
      </c>
      <c r="E104" s="650">
        <v>175568.19</v>
      </c>
      <c r="F104" s="629">
        <f t="shared" si="51"/>
        <v>175568.19</v>
      </c>
      <c r="G104" s="572">
        <v>501502.19</v>
      </c>
      <c r="H104" s="572">
        <v>492254.19</v>
      </c>
      <c r="I104" s="572">
        <v>322727.19</v>
      </c>
      <c r="J104" s="574">
        <f t="shared" si="52"/>
        <v>322727.19</v>
      </c>
      <c r="K104" s="576"/>
      <c r="L104" s="572"/>
      <c r="M104" s="572"/>
      <c r="N104" s="577">
        <f t="shared" si="53"/>
        <v>0</v>
      </c>
      <c r="O104" s="576"/>
      <c r="P104" s="576"/>
      <c r="Q104" s="576"/>
      <c r="R104" s="577">
        <f t="shared" si="54"/>
        <v>0</v>
      </c>
      <c r="S104" s="586">
        <f t="shared" si="42"/>
        <v>175568.19</v>
      </c>
      <c r="T104" s="586">
        <f>J104</f>
        <v>322727.19</v>
      </c>
      <c r="U104" s="586">
        <f t="shared" si="55"/>
        <v>0</v>
      </c>
      <c r="V104" s="586">
        <f t="shared" si="50"/>
        <v>0</v>
      </c>
      <c r="W104" s="587"/>
      <c r="Z104" s="369">
        <v>694094.07</v>
      </c>
    </row>
    <row r="105" spans="1:26">
      <c r="A105" s="367">
        <v>105</v>
      </c>
      <c r="B105" s="623" t="s">
        <v>142</v>
      </c>
      <c r="C105" s="609">
        <v>300000</v>
      </c>
      <c r="D105" s="572">
        <f>100000+10000</f>
        <v>110000</v>
      </c>
      <c r="E105" s="650">
        <v>10000</v>
      </c>
      <c r="F105" s="629">
        <f t="shared" si="51"/>
        <v>10000</v>
      </c>
      <c r="G105" s="572">
        <v>0</v>
      </c>
      <c r="H105" s="572">
        <v>0</v>
      </c>
      <c r="I105" s="572">
        <v>0</v>
      </c>
      <c r="J105" s="574">
        <f t="shared" si="52"/>
        <v>0</v>
      </c>
      <c r="K105" s="576"/>
      <c r="L105" s="572"/>
      <c r="M105" s="572"/>
      <c r="N105" s="577">
        <f t="shared" si="53"/>
        <v>0</v>
      </c>
      <c r="O105" s="576">
        <v>0</v>
      </c>
      <c r="P105" s="576"/>
      <c r="Q105" s="576">
        <v>0</v>
      </c>
      <c r="R105" s="577">
        <f t="shared" si="54"/>
        <v>0</v>
      </c>
      <c r="S105" s="586">
        <f>F105</f>
        <v>10000</v>
      </c>
      <c r="T105" s="586">
        <f>G105</f>
        <v>0</v>
      </c>
      <c r="U105" s="586">
        <f t="shared" si="55"/>
        <v>0</v>
      </c>
      <c r="V105" s="586">
        <f t="shared" si="50"/>
        <v>0</v>
      </c>
      <c r="W105" s="587"/>
      <c r="Z105" s="369">
        <v>0</v>
      </c>
    </row>
    <row r="106" spans="1:26">
      <c r="A106" s="367">
        <v>106</v>
      </c>
      <c r="B106" s="623" t="s">
        <v>143</v>
      </c>
      <c r="C106" s="581">
        <f>-135200-192500-150000-259500</f>
        <v>-737200</v>
      </c>
      <c r="D106" s="624">
        <f>-500-100000</f>
        <v>-100500</v>
      </c>
      <c r="E106" s="650">
        <v>0</v>
      </c>
      <c r="F106" s="629">
        <f t="shared" si="51"/>
        <v>0</v>
      </c>
      <c r="G106" s="572">
        <v>0</v>
      </c>
      <c r="H106" s="572">
        <v>0</v>
      </c>
      <c r="I106" s="572">
        <v>0</v>
      </c>
      <c r="J106" s="574">
        <f t="shared" si="52"/>
        <v>0</v>
      </c>
      <c r="K106" s="576"/>
      <c r="L106" s="572"/>
      <c r="M106" s="572"/>
      <c r="N106" s="577">
        <f t="shared" si="53"/>
        <v>0</v>
      </c>
      <c r="O106" s="576">
        <v>0</v>
      </c>
      <c r="P106" s="576"/>
      <c r="Q106" s="576">
        <v>0</v>
      </c>
      <c r="R106" s="577">
        <f t="shared" si="54"/>
        <v>0</v>
      </c>
      <c r="S106" s="586">
        <f>F106</f>
        <v>0</v>
      </c>
      <c r="T106" s="586">
        <f>G106</f>
        <v>0</v>
      </c>
      <c r="U106" s="586">
        <f t="shared" si="55"/>
        <v>0</v>
      </c>
      <c r="V106" s="586">
        <f t="shared" si="50"/>
        <v>0</v>
      </c>
      <c r="W106" s="587"/>
      <c r="Z106" s="369">
        <v>0</v>
      </c>
    </row>
    <row r="107" spans="1:26">
      <c r="A107" s="367">
        <v>107</v>
      </c>
      <c r="B107" s="623" t="s">
        <v>123</v>
      </c>
      <c r="C107" s="609">
        <v>5500</v>
      </c>
      <c r="D107" s="572">
        <v>1000</v>
      </c>
      <c r="E107" s="650">
        <v>1000</v>
      </c>
      <c r="F107" s="629">
        <f t="shared" si="51"/>
        <v>1000</v>
      </c>
      <c r="G107" s="572">
        <v>0</v>
      </c>
      <c r="H107" s="572">
        <v>0</v>
      </c>
      <c r="I107" s="572">
        <v>0</v>
      </c>
      <c r="J107" s="574">
        <f t="shared" si="52"/>
        <v>0</v>
      </c>
      <c r="K107" s="576"/>
      <c r="L107" s="572"/>
      <c r="M107" s="572"/>
      <c r="N107" s="577">
        <f>M107</f>
        <v>0</v>
      </c>
      <c r="O107" s="576"/>
      <c r="P107" s="576"/>
      <c r="Q107" s="576"/>
      <c r="R107" s="577">
        <f t="shared" si="54"/>
        <v>0</v>
      </c>
      <c r="S107" s="586">
        <f t="shared" si="42"/>
        <v>1000</v>
      </c>
      <c r="T107" s="586">
        <f>J107</f>
        <v>0</v>
      </c>
      <c r="U107" s="586">
        <f t="shared" si="55"/>
        <v>0</v>
      </c>
      <c r="V107" s="586">
        <f t="shared" si="50"/>
        <v>0</v>
      </c>
      <c r="W107" s="587"/>
      <c r="Z107" s="369">
        <v>3500</v>
      </c>
    </row>
    <row r="108" spans="1:26">
      <c r="A108" s="367">
        <v>108</v>
      </c>
      <c r="B108" s="651" t="s">
        <v>34</v>
      </c>
      <c r="C108" s="652"/>
      <c r="D108" s="652"/>
      <c r="E108" s="653"/>
      <c r="F108" s="652"/>
      <c r="G108" s="652"/>
      <c r="H108" s="652"/>
      <c r="I108" s="652"/>
      <c r="J108" s="652"/>
      <c r="K108" s="142"/>
      <c r="L108" s="652"/>
      <c r="M108" s="652"/>
      <c r="N108" s="142"/>
      <c r="O108" s="576"/>
      <c r="P108" s="142"/>
      <c r="Q108" s="142"/>
      <c r="R108" s="142"/>
      <c r="S108" s="586"/>
      <c r="T108" s="586"/>
      <c r="U108" s="586"/>
      <c r="V108" s="586"/>
      <c r="W108" s="587"/>
      <c r="Y108" s="369"/>
      <c r="Z108" s="369"/>
    </row>
    <row r="109" spans="1:26" ht="31.5">
      <c r="A109" s="367">
        <v>109</v>
      </c>
      <c r="B109" s="654" t="s">
        <v>218</v>
      </c>
      <c r="C109" s="655">
        <f t="shared" ref="C109:V109" si="56">C25</f>
        <v>2416960.5100000002</v>
      </c>
      <c r="D109" s="655">
        <f t="shared" si="56"/>
        <v>2686476.12</v>
      </c>
      <c r="E109" s="656">
        <f t="shared" si="56"/>
        <v>2184921.3999999994</v>
      </c>
      <c r="F109" s="636">
        <f t="shared" si="56"/>
        <v>4799570.6100000003</v>
      </c>
      <c r="G109" s="655">
        <f t="shared" si="56"/>
        <v>1585456.6899999997</v>
      </c>
      <c r="H109" s="655">
        <f t="shared" si="56"/>
        <v>1535620.17</v>
      </c>
      <c r="I109" s="655">
        <f t="shared" si="56"/>
        <v>2093306.8800000001</v>
      </c>
      <c r="J109" s="657">
        <f t="shared" si="56"/>
        <v>3711316.29</v>
      </c>
      <c r="K109" s="149">
        <f t="shared" si="56"/>
        <v>457630.32</v>
      </c>
      <c r="L109" s="657">
        <f t="shared" si="56"/>
        <v>0</v>
      </c>
      <c r="M109" s="657">
        <f t="shared" si="56"/>
        <v>0</v>
      </c>
      <c r="N109" s="149">
        <f t="shared" si="56"/>
        <v>457630.32</v>
      </c>
      <c r="O109" s="657">
        <f t="shared" si="56"/>
        <v>0</v>
      </c>
      <c r="P109" s="657">
        <f t="shared" si="56"/>
        <v>0</v>
      </c>
      <c r="Q109" s="657">
        <f t="shared" si="56"/>
        <v>0</v>
      </c>
      <c r="R109" s="149">
        <f t="shared" si="56"/>
        <v>0</v>
      </c>
      <c r="S109" s="608">
        <f t="shared" si="56"/>
        <v>4799570.6100000003</v>
      </c>
      <c r="T109" s="608">
        <f t="shared" si="56"/>
        <v>8160163.1500000004</v>
      </c>
      <c r="U109" s="608">
        <f t="shared" si="56"/>
        <v>8160163.1500000004</v>
      </c>
      <c r="V109" s="608">
        <f t="shared" si="56"/>
        <v>8160163.1500000004</v>
      </c>
      <c r="W109" s="587">
        <f>W25</f>
        <v>12490573.450000001</v>
      </c>
      <c r="Z109" s="369">
        <v>9570973.5199999996</v>
      </c>
    </row>
    <row r="110" spans="1:26">
      <c r="A110" s="367">
        <v>110</v>
      </c>
      <c r="B110" s="627" t="s">
        <v>35</v>
      </c>
      <c r="C110" s="142">
        <f>C82+C85+C86</f>
        <v>737208</v>
      </c>
      <c r="D110" s="142">
        <f>D82+D85+D86</f>
        <v>780636.38</v>
      </c>
      <c r="E110" s="632">
        <f>E82+E85+E86</f>
        <v>530081.5</v>
      </c>
      <c r="F110" s="574">
        <f>SUM(C110:E110)</f>
        <v>2047925.88</v>
      </c>
      <c r="G110" s="142">
        <f>G82+G85+G86</f>
        <v>264066</v>
      </c>
      <c r="H110" s="142">
        <f>H82+H85+H86</f>
        <v>230248</v>
      </c>
      <c r="I110" s="142">
        <f>I82+I85+I86</f>
        <v>539527</v>
      </c>
      <c r="J110" s="146">
        <f>SUM(G110:I110)</f>
        <v>1033841</v>
      </c>
      <c r="K110" s="142">
        <f>K82+K85+K86</f>
        <v>213000</v>
      </c>
      <c r="L110" s="142">
        <f>L82+L85+L86</f>
        <v>0</v>
      </c>
      <c r="M110" s="142">
        <f>M82+M85+M86</f>
        <v>0</v>
      </c>
      <c r="N110" s="146">
        <f>SUM(K110:M110)</f>
        <v>213000</v>
      </c>
      <c r="O110" s="142">
        <f>O82+O85+O86</f>
        <v>0</v>
      </c>
      <c r="P110" s="142">
        <f>P82+P86</f>
        <v>0</v>
      </c>
      <c r="Q110" s="142">
        <f>Q82+Q86</f>
        <v>0</v>
      </c>
      <c r="R110" s="141">
        <f>R82+R85+R86</f>
        <v>0</v>
      </c>
      <c r="S110" s="586">
        <f t="shared" si="42"/>
        <v>2047925.88</v>
      </c>
      <c r="T110" s="586">
        <f>F110+J110</f>
        <v>3081766.88</v>
      </c>
      <c r="U110" s="586">
        <f>F110+J110+N110</f>
        <v>3294766.88</v>
      </c>
      <c r="V110" s="586">
        <f>F110+J110+N110+R110</f>
        <v>3294766.88</v>
      </c>
      <c r="W110" s="587">
        <f>W82+W85+W86</f>
        <v>3502000</v>
      </c>
      <c r="Z110" s="369">
        <v>1841010</v>
      </c>
    </row>
    <row r="111" spans="1:26" ht="31.5">
      <c r="A111" s="367">
        <v>111</v>
      </c>
      <c r="B111" s="627" t="s">
        <v>36</v>
      </c>
      <c r="C111" s="658">
        <f>C98-C82-C85-C86</f>
        <v>643913.37000000011</v>
      </c>
      <c r="D111" s="658">
        <f>D98-D82-D85-D86</f>
        <v>852891.45925000007</v>
      </c>
      <c r="E111" s="659">
        <f>E98-E82-E85-E86</f>
        <v>1304116.1499999999</v>
      </c>
      <c r="F111" s="636">
        <f>SUM(C111:E111)</f>
        <v>2800920.9792499999</v>
      </c>
      <c r="G111" s="658">
        <f>G98-G82-G84-G86</f>
        <v>746529.75</v>
      </c>
      <c r="H111" s="658">
        <f>H98-H82-H84-H85-H86</f>
        <v>577165.66</v>
      </c>
      <c r="I111" s="658">
        <f>I98-I82-I84-I85-I86</f>
        <v>1196149.56</v>
      </c>
      <c r="J111" s="660">
        <f>SUM(G111:I111)</f>
        <v>2519844.9700000002</v>
      </c>
      <c r="K111" s="658">
        <f>K98-K82-K86</f>
        <v>0</v>
      </c>
      <c r="L111" s="658">
        <f>L98-L82-L86</f>
        <v>0</v>
      </c>
      <c r="M111" s="658">
        <f>M98-M82-M86</f>
        <v>0</v>
      </c>
      <c r="N111" s="660">
        <f>SUM(K111:M111)</f>
        <v>0</v>
      </c>
      <c r="O111" s="658">
        <f>O98-O82-O86</f>
        <v>0</v>
      </c>
      <c r="P111" s="658">
        <f>P98-P82-P86</f>
        <v>0</v>
      </c>
      <c r="Q111" s="658">
        <f>Q98-Q82-Q86</f>
        <v>0</v>
      </c>
      <c r="R111" s="149">
        <f>R98-R110</f>
        <v>0</v>
      </c>
      <c r="S111" s="608">
        <f t="shared" si="42"/>
        <v>2800920.9792499999</v>
      </c>
      <c r="T111" s="608">
        <f>F111+J111</f>
        <v>5320765.9492499996</v>
      </c>
      <c r="U111" s="608">
        <f>F111+J111+N111</f>
        <v>5320765.9492499996</v>
      </c>
      <c r="V111" s="608">
        <f>F111+J111+N111+R111</f>
        <v>5320765.9492499996</v>
      </c>
      <c r="W111" s="587">
        <f>W98</f>
        <v>14034012.4</v>
      </c>
      <c r="Z111" s="369">
        <v>6210438.3600000003</v>
      </c>
    </row>
    <row r="112" spans="1:26" ht="31.5">
      <c r="A112" s="367">
        <v>112</v>
      </c>
      <c r="B112" s="654" t="s">
        <v>71</v>
      </c>
      <c r="C112" s="661">
        <f>C110+C111</f>
        <v>1381121.37</v>
      </c>
      <c r="D112" s="661">
        <f>D110+D111</f>
        <v>1633527.8392500002</v>
      </c>
      <c r="E112" s="662">
        <f>E110+E111</f>
        <v>1834197.65</v>
      </c>
      <c r="F112" s="574">
        <f>F110+F111-400000</f>
        <v>4448846.8592499997</v>
      </c>
      <c r="G112" s="661">
        <f t="shared" ref="G112:N112" si="57">G110+G111</f>
        <v>1010595.75</v>
      </c>
      <c r="H112" s="661">
        <f t="shared" si="57"/>
        <v>807413.66</v>
      </c>
      <c r="I112" s="661">
        <f t="shared" si="57"/>
        <v>1735676.56</v>
      </c>
      <c r="J112" s="663">
        <f>J110+J111-300000</f>
        <v>3253685.97</v>
      </c>
      <c r="K112" s="663">
        <f t="shared" si="57"/>
        <v>213000</v>
      </c>
      <c r="L112" s="661">
        <f t="shared" si="57"/>
        <v>0</v>
      </c>
      <c r="M112" s="661">
        <f t="shared" si="57"/>
        <v>0</v>
      </c>
      <c r="N112" s="663">
        <f t="shared" si="57"/>
        <v>213000</v>
      </c>
      <c r="O112" s="661">
        <f>O110+O111</f>
        <v>0</v>
      </c>
      <c r="P112" s="661">
        <f>P110+P111</f>
        <v>0</v>
      </c>
      <c r="Q112" s="142">
        <f>Q110+Q111</f>
        <v>0</v>
      </c>
      <c r="R112" s="141">
        <f>R110+R111</f>
        <v>0</v>
      </c>
      <c r="S112" s="586">
        <f t="shared" si="42"/>
        <v>4448846.8592499997</v>
      </c>
      <c r="T112" s="586">
        <f>F112+J112</f>
        <v>7702532.8292500004</v>
      </c>
      <c r="U112" s="586">
        <f>F112+J112+N112</f>
        <v>7915532.8292500004</v>
      </c>
      <c r="V112" s="586">
        <f>F112+J112+N112+R112</f>
        <v>7915532.8292500004</v>
      </c>
      <c r="W112" s="592">
        <f>W27+W57+W62+W81+W89+W94</f>
        <v>14034012.4</v>
      </c>
      <c r="Z112" s="369">
        <v>8051448.3599999994</v>
      </c>
    </row>
    <row r="113" spans="2:26">
      <c r="B113" s="664" t="s">
        <v>29</v>
      </c>
      <c r="C113" s="665">
        <f t="shared" ref="C113:V113" si="58">C109-C99-C112</f>
        <v>-299999.99999999977</v>
      </c>
      <c r="D113" s="665">
        <f t="shared" si="58"/>
        <v>-99999.999249999877</v>
      </c>
      <c r="E113" s="666">
        <f>E109-E99-E112</f>
        <v>0</v>
      </c>
      <c r="F113" s="667">
        <f>F109-F99-F112</f>
        <v>7.5000058859586716E-4</v>
      </c>
      <c r="G113" s="665">
        <f t="shared" si="58"/>
        <v>-100000.00000000023</v>
      </c>
      <c r="H113" s="665">
        <f>H109-H99-H112</f>
        <v>-100000.00000000012</v>
      </c>
      <c r="I113" s="665">
        <f>I109-I99-I112</f>
        <v>-100000</v>
      </c>
      <c r="J113" s="668">
        <f t="shared" si="58"/>
        <v>0</v>
      </c>
      <c r="K113" s="665">
        <f t="shared" si="58"/>
        <v>244630.32</v>
      </c>
      <c r="L113" s="665">
        <f t="shared" si="58"/>
        <v>0</v>
      </c>
      <c r="M113" s="665">
        <f t="shared" si="58"/>
        <v>0</v>
      </c>
      <c r="N113" s="669">
        <f t="shared" si="58"/>
        <v>244630.32</v>
      </c>
      <c r="O113" s="665">
        <f t="shared" si="58"/>
        <v>0</v>
      </c>
      <c r="P113" s="665">
        <f t="shared" si="58"/>
        <v>0</v>
      </c>
      <c r="Q113" s="665">
        <f t="shared" si="58"/>
        <v>0</v>
      </c>
      <c r="R113" s="669">
        <f t="shared" si="58"/>
        <v>0</v>
      </c>
      <c r="S113" s="669">
        <f>S109-S99-S112</f>
        <v>7.5000058859586716E-4</v>
      </c>
      <c r="T113" s="669">
        <f t="shared" si="58"/>
        <v>7.4999965727329254E-4</v>
      </c>
      <c r="U113" s="669">
        <f t="shared" si="58"/>
        <v>244630.32074999996</v>
      </c>
      <c r="V113" s="669">
        <f t="shared" si="58"/>
        <v>244630.32074999996</v>
      </c>
      <c r="W113" s="587"/>
      <c r="Z113" s="369">
        <v>562801.37000000023</v>
      </c>
    </row>
    <row r="114" spans="2:26">
      <c r="B114" s="623"/>
      <c r="C114" s="143">
        <v>300000</v>
      </c>
      <c r="D114" s="143"/>
      <c r="E114" s="693">
        <v>300000</v>
      </c>
      <c r="F114" s="694">
        <f>SUM(C113:E113)</f>
        <v>-399999.99924999964</v>
      </c>
      <c r="G114" s="142"/>
      <c r="H114" s="652"/>
      <c r="I114" s="652"/>
      <c r="J114" s="142"/>
      <c r="K114" s="142"/>
      <c r="L114" s="652"/>
      <c r="M114" s="652"/>
      <c r="N114" s="142"/>
      <c r="O114" s="142"/>
      <c r="P114" s="142"/>
      <c r="Q114" s="142"/>
      <c r="R114" s="141"/>
      <c r="S114" s="142"/>
      <c r="T114" s="142"/>
      <c r="U114" s="142"/>
      <c r="V114" s="142"/>
      <c r="W114" s="587"/>
    </row>
    <row r="115" spans="2:26">
      <c r="B115" s="670"/>
      <c r="C115" s="671">
        <f>SUM(C113:C114)</f>
        <v>0</v>
      </c>
      <c r="D115" s="671"/>
      <c r="E115" s="672">
        <f>SUM(E113:E114)</f>
        <v>300000</v>
      </c>
      <c r="G115" s="562">
        <f>100000</f>
        <v>100000</v>
      </c>
      <c r="J115" s="440"/>
      <c r="L115" s="562"/>
      <c r="O115" s="369"/>
      <c r="P115" s="369"/>
      <c r="R115" s="440"/>
      <c r="T115" s="565"/>
    </row>
    <row r="116" spans="2:26">
      <c r="B116" s="580"/>
      <c r="C116" s="673"/>
      <c r="D116" s="674"/>
      <c r="E116" s="672"/>
      <c r="F116" s="562"/>
      <c r="G116" s="562">
        <f>G115+G113</f>
        <v>-2.3283064365386963E-10</v>
      </c>
      <c r="I116" s="562"/>
      <c r="J116" s="562"/>
      <c r="L116" s="562"/>
      <c r="M116" s="562"/>
      <c r="O116" s="369"/>
      <c r="P116" s="369"/>
      <c r="Q116" s="440"/>
      <c r="V116" s="369"/>
    </row>
    <row r="117" spans="2:26">
      <c r="B117" s="580"/>
      <c r="C117" s="674"/>
      <c r="D117" s="675"/>
      <c r="E117" s="676">
        <f>E103-8060.66</f>
        <v>50845.289999999994</v>
      </c>
      <c r="I117" s="367">
        <v>400000</v>
      </c>
      <c r="O117" s="369"/>
      <c r="P117" s="369"/>
      <c r="Q117" s="440"/>
      <c r="R117" s="440"/>
      <c r="V117" s="369"/>
    </row>
    <row r="118" spans="2:26">
      <c r="E118" s="678"/>
      <c r="O118" s="369"/>
      <c r="P118" s="369"/>
    </row>
    <row r="119" spans="2:26">
      <c r="I119" s="367">
        <f>35670-2350-33620</f>
        <v>-300</v>
      </c>
      <c r="O119" s="369"/>
      <c r="P119" s="369"/>
      <c r="V119" s="440"/>
    </row>
    <row r="120" spans="2:26">
      <c r="I120" s="572">
        <v>116175</v>
      </c>
      <c r="O120" s="369"/>
      <c r="P120" s="142"/>
      <c r="V120" s="440"/>
    </row>
    <row r="121" spans="2:26">
      <c r="O121" s="369"/>
      <c r="P121" s="369"/>
    </row>
    <row r="122" spans="2:26">
      <c r="O122" s="369"/>
      <c r="P122" s="369"/>
    </row>
    <row r="123" spans="2:26">
      <c r="C123" s="369">
        <f>5000+9000+2000+15000+2000+3000</f>
        <v>36000</v>
      </c>
      <c r="O123" s="369"/>
      <c r="P123" s="369"/>
    </row>
    <row r="124" spans="2:26">
      <c r="C124" s="369">
        <f>9000+3000+3000+2500</f>
        <v>17500</v>
      </c>
      <c r="O124" s="369"/>
      <c r="P124" s="369"/>
    </row>
    <row r="125" spans="2:26">
      <c r="C125" s="369"/>
      <c r="O125" s="369"/>
      <c r="P125" s="369"/>
    </row>
    <row r="126" spans="2:26">
      <c r="B126" s="680"/>
      <c r="C126" s="681"/>
      <c r="D126" s="565"/>
      <c r="O126" s="369"/>
      <c r="P126" s="369"/>
    </row>
    <row r="127" spans="2:26">
      <c r="B127" s="680"/>
      <c r="C127" s="681"/>
      <c r="D127" s="565"/>
      <c r="O127" s="369"/>
      <c r="P127" s="369"/>
    </row>
    <row r="128" spans="2:26">
      <c r="B128" s="680"/>
      <c r="C128" s="681"/>
      <c r="D128" s="565"/>
      <c r="E128" s="561"/>
      <c r="G128" s="369"/>
      <c r="O128" s="369"/>
      <c r="P128" s="369"/>
    </row>
    <row r="129" spans="2:16">
      <c r="B129" s="680"/>
      <c r="C129" s="681"/>
      <c r="D129" s="565"/>
      <c r="E129" s="561">
        <f>45883.73+4100</f>
        <v>49983.73</v>
      </c>
      <c r="O129" s="369"/>
      <c r="P129" s="369"/>
    </row>
    <row r="130" spans="2:16">
      <c r="B130" s="680"/>
      <c r="C130" s="681"/>
      <c r="D130" s="565"/>
      <c r="E130" s="561">
        <f>E129+1950</f>
        <v>51933.73</v>
      </c>
      <c r="O130" s="369"/>
      <c r="P130" s="369"/>
    </row>
    <row r="131" spans="2:16">
      <c r="B131" s="680"/>
      <c r="C131" s="681"/>
      <c r="D131" s="565"/>
      <c r="E131" s="561">
        <f>3470+E130</f>
        <v>55403.73</v>
      </c>
      <c r="O131" s="369"/>
      <c r="P131" s="369"/>
    </row>
    <row r="132" spans="2:16">
      <c r="B132" s="680">
        <f>5000*358</f>
        <v>1790000</v>
      </c>
      <c r="C132" s="682"/>
      <c r="D132" s="565"/>
      <c r="E132" s="561">
        <f>4320+E131</f>
        <v>59723.73</v>
      </c>
      <c r="I132" s="565"/>
      <c r="O132" s="369"/>
      <c r="P132" s="369"/>
    </row>
    <row r="133" spans="2:16">
      <c r="B133" s="680"/>
      <c r="C133" s="682"/>
      <c r="D133" s="565"/>
      <c r="E133" s="561">
        <f>3210+E132</f>
        <v>62933.73</v>
      </c>
      <c r="G133" s="440"/>
      <c r="H133" s="369"/>
      <c r="I133" s="440"/>
      <c r="O133" s="369"/>
      <c r="P133" s="369"/>
    </row>
    <row r="134" spans="2:16">
      <c r="B134" s="680"/>
      <c r="C134" s="682"/>
      <c r="D134" s="565"/>
      <c r="E134" s="683">
        <f>86.7+E133</f>
        <v>63020.43</v>
      </c>
      <c r="G134" s="369"/>
      <c r="I134" s="565"/>
      <c r="O134" s="369"/>
      <c r="P134" s="369"/>
    </row>
    <row r="135" spans="2:16">
      <c r="B135" s="680"/>
      <c r="C135" s="682"/>
      <c r="D135" s="565"/>
      <c r="E135" s="683">
        <f>-8.67+E134</f>
        <v>63011.76</v>
      </c>
      <c r="O135" s="369"/>
      <c r="P135" s="369"/>
    </row>
    <row r="136" spans="2:16">
      <c r="B136" s="680"/>
      <c r="C136" s="682"/>
      <c r="D136" s="565"/>
      <c r="E136" s="683">
        <f>E135-75</f>
        <v>62936.76</v>
      </c>
      <c r="O136" s="369"/>
      <c r="P136" s="369"/>
    </row>
    <row r="137" spans="2:16">
      <c r="B137" s="680">
        <f>2000+3000+23750+3500+17000+15000+7000+7000+7000+2000+7000+7000+2000+25000+6000+2500+3000+5000+3200</f>
        <v>147950</v>
      </c>
      <c r="C137" s="682"/>
      <c r="D137" s="565"/>
      <c r="O137" s="369"/>
      <c r="P137" s="369"/>
    </row>
    <row r="138" spans="2:16">
      <c r="B138" s="680"/>
      <c r="C138" s="682"/>
      <c r="D138" s="565"/>
      <c r="O138" s="369"/>
      <c r="P138" s="369"/>
    </row>
    <row r="139" spans="2:16">
      <c r="B139" s="680"/>
      <c r="C139" s="682"/>
      <c r="D139" s="565"/>
      <c r="O139" s="369"/>
      <c r="P139" s="369"/>
    </row>
    <row r="140" spans="2:16">
      <c r="B140" s="680"/>
      <c r="C140" s="682"/>
      <c r="D140" s="565"/>
      <c r="G140" s="369"/>
      <c r="H140" s="440"/>
      <c r="O140" s="369"/>
      <c r="P140" s="440"/>
    </row>
    <row r="141" spans="2:16">
      <c r="B141" s="680"/>
      <c r="C141" s="682"/>
      <c r="D141" s="565"/>
      <c r="G141" s="440"/>
      <c r="O141" s="369"/>
    </row>
    <row r="142" spans="2:16">
      <c r="B142" s="680"/>
      <c r="C142" s="682"/>
      <c r="D142" s="565"/>
      <c r="O142" s="369"/>
    </row>
    <row r="143" spans="2:16">
      <c r="B143" s="680"/>
      <c r="C143" s="682"/>
      <c r="D143" s="565"/>
      <c r="O143" s="369"/>
    </row>
    <row r="144" spans="2:16">
      <c r="B144" s="680"/>
      <c r="C144" s="682"/>
      <c r="D144" s="565"/>
      <c r="O144" s="369"/>
    </row>
    <row r="145" spans="2:16">
      <c r="B145" s="680"/>
      <c r="C145" s="682"/>
      <c r="D145" s="565"/>
      <c r="O145" s="440"/>
    </row>
    <row r="146" spans="2:16">
      <c r="B146" s="680"/>
      <c r="C146" s="682"/>
      <c r="D146" s="565"/>
      <c r="P146" s="440"/>
    </row>
    <row r="147" spans="2:16">
      <c r="B147" s="680"/>
      <c r="C147" s="682"/>
      <c r="D147" s="565"/>
      <c r="O147" s="440"/>
      <c r="P147" s="440"/>
    </row>
    <row r="148" spans="2:16">
      <c r="B148" s="680"/>
      <c r="C148" s="682"/>
      <c r="D148" s="565"/>
      <c r="O148" s="565"/>
      <c r="P148" s="440"/>
    </row>
    <row r="149" spans="2:16">
      <c r="B149" s="680"/>
      <c r="C149" s="565"/>
      <c r="D149" s="565"/>
      <c r="O149" s="440"/>
      <c r="P149" s="565"/>
    </row>
    <row r="150" spans="2:16">
      <c r="B150" s="680"/>
      <c r="C150" s="565"/>
      <c r="D150" s="565"/>
    </row>
    <row r="151" spans="2:16">
      <c r="C151" s="682"/>
      <c r="D151" s="565"/>
    </row>
    <row r="152" spans="2:16">
      <c r="D152" s="565"/>
    </row>
    <row r="153" spans="2:16">
      <c r="D153" s="565"/>
    </row>
    <row r="154" spans="2:16">
      <c r="D154" s="565"/>
    </row>
    <row r="155" spans="2:16">
      <c r="D155" s="565"/>
    </row>
    <row r="156" spans="2:16">
      <c r="D156" s="565"/>
    </row>
  </sheetData>
  <sortState ref="B90:B92">
    <sortCondition ref="B90:B92"/>
  </sortState>
  <pageMargins left="0.7" right="0.7" top="0.75" bottom="0.75" header="0.3" footer="0.3"/>
  <pageSetup paperSize="9" scale="65" orientation="portrait" r:id="rId1"/>
  <headerFooter>
    <oddFooter>&amp;R&amp;P</oddFooter>
  </headerFooter>
  <rowBreaks count="1" manualBreakCount="1">
    <brk id="55" max="9" man="1"/>
  </rowBreaks>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23"/>
  <sheetViews>
    <sheetView workbookViewId="0">
      <selection activeCell="F14" sqref="F14"/>
    </sheetView>
  </sheetViews>
  <sheetFormatPr defaultRowHeight="15"/>
  <cols>
    <col min="1" max="1" width="11.5703125" bestFit="1" customWidth="1"/>
    <col min="2" max="2" width="11.28515625" bestFit="1" customWidth="1"/>
    <col min="11" max="11" width="52.7109375" customWidth="1"/>
  </cols>
  <sheetData>
    <row r="1" spans="1:11">
      <c r="A1" s="3">
        <f>5000+4000+20000+3500+40000+10000+5000+5000+10000+1000</f>
        <v>103500</v>
      </c>
      <c r="B1" s="3"/>
      <c r="C1" s="3"/>
    </row>
    <row r="2" spans="1:11">
      <c r="A2" s="3">
        <f>27000+16000+8450+10000+16000+20000+2200</f>
        <v>99650</v>
      </c>
      <c r="B2" s="3">
        <v>-99850</v>
      </c>
      <c r="C2" s="3">
        <f>SUM(A2:B2)</f>
        <v>-200</v>
      </c>
    </row>
    <row r="3" spans="1:11">
      <c r="A3" s="3"/>
      <c r="B3" s="3"/>
      <c r="C3" s="3"/>
    </row>
    <row r="4" spans="1:11">
      <c r="A4" s="3"/>
      <c r="B4" s="3"/>
      <c r="C4" s="3"/>
    </row>
    <row r="5" spans="1:11">
      <c r="A5" s="3">
        <f>66300+21700+4020+15000</f>
        <v>107020</v>
      </c>
      <c r="B5" s="3"/>
      <c r="C5" s="3"/>
      <c r="K5" s="521" t="s">
        <v>185</v>
      </c>
    </row>
    <row r="6" spans="1:11">
      <c r="A6" s="3">
        <f>30000+20930+2350</f>
        <v>53280</v>
      </c>
      <c r="B6" s="3"/>
      <c r="C6" s="3"/>
      <c r="K6" t="s">
        <v>177</v>
      </c>
    </row>
    <row r="7" spans="1:11">
      <c r="A7" s="3">
        <f>2050+15700+25140+3200</f>
        <v>46090</v>
      </c>
      <c r="B7" s="3"/>
      <c r="C7" s="3"/>
      <c r="K7" t="s">
        <v>178</v>
      </c>
    </row>
    <row r="8" spans="1:11">
      <c r="A8" s="3">
        <f>69410+22040+20610+3290+1500+3300</f>
        <v>120150</v>
      </c>
      <c r="B8" s="3"/>
      <c r="C8" s="3"/>
      <c r="K8" t="s">
        <v>179</v>
      </c>
    </row>
    <row r="9" spans="1:11">
      <c r="A9" s="3">
        <f>27200/170</f>
        <v>160</v>
      </c>
      <c r="B9" s="3"/>
      <c r="C9" s="3"/>
      <c r="K9" t="s">
        <v>180</v>
      </c>
    </row>
    <row r="10" spans="1:11">
      <c r="B10" s="3"/>
      <c r="C10" s="3"/>
      <c r="K10" t="s">
        <v>181</v>
      </c>
    </row>
    <row r="11" spans="1:11">
      <c r="A11" s="3">
        <f>81200+9998.4+133382.4+151569+53049.15+22735.3+318800+81200-130330</f>
        <v>721604.25</v>
      </c>
      <c r="K11" t="s">
        <v>182</v>
      </c>
    </row>
    <row r="12" spans="1:11">
      <c r="A12" s="2">
        <f>A11-Details!M100</f>
        <v>721604.25</v>
      </c>
      <c r="K12" t="s">
        <v>183</v>
      </c>
    </row>
    <row r="13" spans="1:11">
      <c r="K13" t="s">
        <v>184</v>
      </c>
    </row>
    <row r="15" spans="1:11">
      <c r="A15" s="3">
        <f>53049.15+318800</f>
        <v>371849.15</v>
      </c>
      <c r="K15" s="199">
        <v>40000</v>
      </c>
    </row>
    <row r="16" spans="1:11">
      <c r="K16" s="199">
        <f>150*350</f>
        <v>52500</v>
      </c>
    </row>
    <row r="17" spans="11:11">
      <c r="K17" s="199">
        <v>10000</v>
      </c>
    </row>
    <row r="18" spans="11:11">
      <c r="K18" s="199">
        <v>4100</v>
      </c>
    </row>
    <row r="19" spans="11:11">
      <c r="K19" s="199">
        <f>15*1800</f>
        <v>27000</v>
      </c>
    </row>
    <row r="20" spans="11:11">
      <c r="K20" s="199">
        <v>4500</v>
      </c>
    </row>
    <row r="21" spans="11:11">
      <c r="K21" s="199">
        <f>SUM(K15:K20)</f>
        <v>138100</v>
      </c>
    </row>
    <row r="22" spans="11:11">
      <c r="K22" s="199"/>
    </row>
    <row r="23" spans="11:11">
      <c r="K23" s="199"/>
    </row>
  </sheetData>
  <hyperlinks>
    <hyperlink ref="K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A154"/>
  <sheetViews>
    <sheetView zoomScaleSheetLayoutView="70" workbookViewId="0">
      <pane xSplit="1" ySplit="5" topLeftCell="N6" activePane="bottomRight" state="frozen"/>
      <selection pane="topRight" activeCell="B1" sqref="B1"/>
      <selection pane="bottomLeft" activeCell="A6" sqref="A6"/>
      <selection pane="bottomRight" activeCell="P6" sqref="P6:P110"/>
    </sheetView>
  </sheetViews>
  <sheetFormatPr defaultRowHeight="15"/>
  <cols>
    <col min="1" max="1" width="71.140625" style="20" customWidth="1"/>
    <col min="2" max="3" width="19.5703125" customWidth="1"/>
    <col min="4" max="4" width="19.5703125" style="495" customWidth="1"/>
    <col min="5" max="5" width="20.5703125" customWidth="1"/>
    <col min="6" max="6" width="19.5703125" customWidth="1"/>
    <col min="7" max="7" width="19.42578125" customWidth="1"/>
    <col min="8" max="8" width="18.85546875" customWidth="1"/>
    <col min="9" max="9" width="18.5703125" customWidth="1"/>
    <col min="10" max="10" width="24.140625" style="3" customWidth="1"/>
    <col min="11" max="11" width="19.85546875" customWidth="1"/>
    <col min="12" max="12" width="18.5703125" customWidth="1"/>
    <col min="13" max="13" width="19.5703125" style="3" customWidth="1"/>
    <col min="14" max="14" width="19.42578125" customWidth="1"/>
    <col min="15" max="15" width="18.85546875" customWidth="1"/>
    <col min="16" max="16" width="20.85546875" customWidth="1"/>
    <col min="17" max="17" width="20.5703125" customWidth="1"/>
    <col min="18" max="18" width="19.5703125" customWidth="1"/>
    <col min="19" max="19" width="19.85546875" customWidth="1"/>
    <col min="20" max="20" width="21.140625" customWidth="1"/>
    <col min="21" max="21" width="24" customWidth="1"/>
    <col min="22" max="22" width="26" style="199" customWidth="1"/>
    <col min="24" max="24" width="16.7109375" customWidth="1"/>
    <col min="25" max="25" width="17.28515625" customWidth="1"/>
    <col min="26" max="26" width="13.140625" customWidth="1"/>
    <col min="27" max="27" width="14" style="399" customWidth="1"/>
  </cols>
  <sheetData>
    <row r="1" spans="1:27">
      <c r="A1" s="193">
        <f>25000+22040+31280+3585+2500+7200</f>
        <v>91605</v>
      </c>
      <c r="B1" s="3">
        <f>69670+25700</f>
        <v>95370</v>
      </c>
      <c r="C1" s="341">
        <v>0.2</v>
      </c>
      <c r="D1" s="471"/>
      <c r="E1" s="3">
        <f>93190+38715</f>
        <v>131905</v>
      </c>
      <c r="F1" s="60"/>
      <c r="H1" s="3">
        <f>58350+15720+5420+1200</f>
        <v>80690</v>
      </c>
      <c r="I1">
        <f>5000+45550+6500+5000+700+4000</f>
        <v>66750</v>
      </c>
      <c r="K1" s="2"/>
      <c r="M1" s="3">
        <f>-(9800+212992+45000+2000+29060+39200+3000+2100+43335+26790+6000+2800+2000+10000+6000+80690+18000+2500+5500+63165+9800+11000+9100+27000+10000+8000+4030+3760+1750+62.32+4850)</f>
        <v>-699284.32</v>
      </c>
      <c r="N1" s="3"/>
      <c r="Q1">
        <f>15000+38000+10000</f>
        <v>63000</v>
      </c>
      <c r="S1">
        <f>30000+17265+2740+2400+11060</f>
        <v>63465</v>
      </c>
    </row>
    <row r="2" spans="1:27">
      <c r="A2" s="108">
        <f>P19-P8-P7</f>
        <v>1328702.4500000002</v>
      </c>
      <c r="B2" s="3">
        <f>12540+10000</f>
        <v>22540</v>
      </c>
      <c r="C2" s="341">
        <v>7.0000000000000007E-2</v>
      </c>
      <c r="D2" s="471"/>
      <c r="E2" s="2">
        <f>350+3450+4000</f>
        <v>7800</v>
      </c>
      <c r="F2" s="2"/>
      <c r="G2" s="2"/>
      <c r="H2" s="2">
        <f>36700+19715+1640+4110+1000</f>
        <v>63165</v>
      </c>
      <c r="I2" s="11"/>
      <c r="J2" s="60">
        <f>58600+21395+3170+7870</f>
        <v>91035</v>
      </c>
      <c r="K2" s="60">
        <f>24650/170</f>
        <v>145</v>
      </c>
      <c r="L2" s="60">
        <f>33504.16+4030+3760+1750+62.32-45+4850</f>
        <v>47911.48</v>
      </c>
      <c r="M2" s="3">
        <f>178274.09-35107.45-187.5+9800</f>
        <v>152779.14000000001</v>
      </c>
      <c r="N2" s="3">
        <f>20000-1100</f>
        <v>18900</v>
      </c>
      <c r="O2" s="2">
        <f>80000+65500+100000+39000+120000+98550+135189.06+47103.08</f>
        <v>685342.14</v>
      </c>
      <c r="P2" s="3">
        <f>78300-6500-4000-4100-22800</f>
        <v>40900</v>
      </c>
      <c r="Q2" s="195">
        <f>80000+65500-25000-3000-1000-70000-20000-25000-1500</f>
        <v>0</v>
      </c>
      <c r="R2">
        <f>80000+65500+25000</f>
        <v>170500</v>
      </c>
      <c r="S2" s="2">
        <f>67790+14030+113900+2380+4600</f>
        <v>202700</v>
      </c>
      <c r="T2">
        <f>30000+17265+2740+2400+11060+5</f>
        <v>63470</v>
      </c>
      <c r="U2">
        <f>12150+16390+2450</f>
        <v>30990</v>
      </c>
      <c r="V2" s="199">
        <f>8900+13230+3750+2230</f>
        <v>28110</v>
      </c>
      <c r="AA2" s="426"/>
    </row>
    <row r="3" spans="1:27">
      <c r="A3" s="108">
        <f>120000-35200</f>
        <v>84800</v>
      </c>
      <c r="B3" s="3">
        <f>1900+450</f>
        <v>2350</v>
      </c>
      <c r="C3" s="341">
        <v>0.03</v>
      </c>
      <c r="D3" s="471"/>
      <c r="E3" s="3"/>
      <c r="F3" s="2"/>
      <c r="G3" s="2"/>
      <c r="H3" s="2">
        <f>4850+8000</f>
        <v>12850</v>
      </c>
      <c r="J3" s="410"/>
      <c r="K3" s="410"/>
      <c r="L3" s="410"/>
      <c r="M3" s="188">
        <f>316351.03-67594.53-23224.81</f>
        <v>225531.69000000003</v>
      </c>
      <c r="N3" s="2"/>
      <c r="O3" s="3">
        <f>120000+80000+65500+47103.08+135189.06+100000+39000+120000+98550+68000+37652</f>
        <v>910994.14</v>
      </c>
      <c r="P3" s="2">
        <f>O3-P4</f>
        <v>82022.680000000051</v>
      </c>
      <c r="Q3">
        <f>28900-27200</f>
        <v>1700</v>
      </c>
      <c r="AA3" s="426"/>
    </row>
    <row r="4" spans="1:27">
      <c r="A4" s="108">
        <f>25000+22040+31280+3585+2500+7200</f>
        <v>91605</v>
      </c>
      <c r="B4" s="60">
        <f>1580+2565</f>
        <v>4145</v>
      </c>
      <c r="D4" s="471">
        <f>SUM(D1:D3)</f>
        <v>0</v>
      </c>
      <c r="E4" s="3">
        <f>SUM(E1:E3)</f>
        <v>139705</v>
      </c>
      <c r="F4" s="2">
        <f>SUM(F1:F3)</f>
        <v>0</v>
      </c>
      <c r="G4" s="2">
        <f>SUM(D4:F4)</f>
        <v>139705</v>
      </c>
      <c r="H4" s="2"/>
      <c r="J4" s="423"/>
      <c r="K4" s="499"/>
      <c r="L4" s="422"/>
      <c r="M4" s="426"/>
      <c r="N4" s="3"/>
      <c r="O4" s="2">
        <f>O2-O3</f>
        <v>-225652</v>
      </c>
      <c r="P4" s="2">
        <f>P96-P87-P79</f>
        <v>828971.46</v>
      </c>
      <c r="AA4" s="426"/>
    </row>
    <row r="5" spans="1:27" ht="21">
      <c r="A5" s="202">
        <f>-97705+A4</f>
        <v>-6100</v>
      </c>
      <c r="B5" s="203" t="s">
        <v>24</v>
      </c>
      <c r="C5" s="203" t="s">
        <v>25</v>
      </c>
      <c r="D5" s="472" t="s">
        <v>26</v>
      </c>
      <c r="E5" s="204" t="s">
        <v>11</v>
      </c>
      <c r="F5" s="203" t="s">
        <v>12</v>
      </c>
      <c r="G5" s="498" t="s">
        <v>13</v>
      </c>
      <c r="H5" s="203" t="s">
        <v>14</v>
      </c>
      <c r="I5" s="204" t="s">
        <v>15</v>
      </c>
      <c r="J5" s="205" t="s">
        <v>16</v>
      </c>
      <c r="K5" s="203" t="s">
        <v>17</v>
      </c>
      <c r="L5" s="203" t="s">
        <v>18</v>
      </c>
      <c r="M5" s="206" t="s">
        <v>19</v>
      </c>
      <c r="N5" s="203" t="s">
        <v>20</v>
      </c>
      <c r="O5" s="203" t="s">
        <v>21</v>
      </c>
      <c r="P5" s="203" t="s">
        <v>22</v>
      </c>
      <c r="Q5" s="204" t="s">
        <v>23</v>
      </c>
      <c r="R5" s="207" t="s">
        <v>39</v>
      </c>
      <c r="S5" s="207" t="s">
        <v>37</v>
      </c>
      <c r="T5" s="207" t="s">
        <v>27</v>
      </c>
      <c r="U5" s="207" t="s">
        <v>28</v>
      </c>
      <c r="V5" s="208" t="s">
        <v>144</v>
      </c>
      <c r="AA5" s="426"/>
    </row>
    <row r="6" spans="1:27" ht="21">
      <c r="A6" s="209" t="s">
        <v>10</v>
      </c>
      <c r="B6" s="210">
        <v>44.97</v>
      </c>
      <c r="C6" s="211"/>
      <c r="D6" s="473">
        <f>58.41+73.92</f>
        <v>132.32999999999998</v>
      </c>
      <c r="E6" s="211">
        <f>SUM(B6:D6)</f>
        <v>177.29999999999998</v>
      </c>
      <c r="F6" s="213">
        <v>107.13</v>
      </c>
      <c r="G6" s="213">
        <v>194.51</v>
      </c>
      <c r="H6" s="213">
        <v>102.02</v>
      </c>
      <c r="I6" s="213">
        <f>SUM(F6:H6)</f>
        <v>403.65999999999997</v>
      </c>
      <c r="J6" s="213">
        <v>62.32</v>
      </c>
      <c r="K6" s="213">
        <v>88.93</v>
      </c>
      <c r="L6" s="213">
        <v>83.88</v>
      </c>
      <c r="M6" s="213">
        <f>SUM(J6:L6)</f>
        <v>235.13</v>
      </c>
      <c r="N6" s="213">
        <v>17.66</v>
      </c>
      <c r="O6" s="214">
        <v>35.44</v>
      </c>
      <c r="P6" s="214">
        <v>19.45</v>
      </c>
      <c r="Q6" s="214">
        <f>SUM(N6:P6)</f>
        <v>72.55</v>
      </c>
      <c r="R6" s="215">
        <f>E6</f>
        <v>177.29999999999998</v>
      </c>
      <c r="S6" s="215">
        <f>E6+I6</f>
        <v>580.95999999999992</v>
      </c>
      <c r="T6" s="215">
        <f>E6+I6+M6</f>
        <v>816.08999999999992</v>
      </c>
      <c r="U6" s="215">
        <f>E6+I6+M6+Q6</f>
        <v>888.63999999999987</v>
      </c>
      <c r="V6" s="216">
        <v>1000</v>
      </c>
      <c r="Y6">
        <f>0.3*46385</f>
        <v>13915.5</v>
      </c>
      <c r="AA6" s="426"/>
    </row>
    <row r="7" spans="1:27" ht="21">
      <c r="A7" s="209" t="s">
        <v>3</v>
      </c>
      <c r="B7" s="210">
        <f>3100+3310+3080+3050</f>
        <v>12540</v>
      </c>
      <c r="C7" s="217">
        <f>3370+2920+2670</f>
        <v>8960</v>
      </c>
      <c r="D7" s="474">
        <f>2910+2500+3880</f>
        <v>9290</v>
      </c>
      <c r="E7" s="211">
        <f>SUM(B7:D7)</f>
        <v>30790</v>
      </c>
      <c r="F7" s="205">
        <f>1800+2980+2050+2620+500</f>
        <v>9950</v>
      </c>
      <c r="G7" s="219">
        <f>3680+2650+3600+3060+3250</f>
        <v>16240</v>
      </c>
      <c r="H7" s="219">
        <f>2750+2200+3020+2250</f>
        <v>10220</v>
      </c>
      <c r="I7" s="213">
        <f t="shared" ref="I7:I18" si="0">SUM(F7:H7)</f>
        <v>36410</v>
      </c>
      <c r="J7" s="219">
        <f>4030+3760+1750+4850+1760</f>
        <v>16150</v>
      </c>
      <c r="K7" s="214">
        <f>2950+6420+3130+2220</f>
        <v>14720</v>
      </c>
      <c r="L7" s="214">
        <f>3350+3080+2670+2570</f>
        <v>11670</v>
      </c>
      <c r="M7" s="213">
        <f t="shared" ref="M7:M17" si="1">SUM(J7:L7)</f>
        <v>42540</v>
      </c>
      <c r="N7" s="214">
        <f>2580+2500+3270+2780</f>
        <v>11130</v>
      </c>
      <c r="O7" s="214">
        <f>2095+1320+1280+2700</f>
        <v>7395</v>
      </c>
      <c r="P7" s="214">
        <f>2540+2810+2300+1860+5860</f>
        <v>15370</v>
      </c>
      <c r="Q7" s="214">
        <f t="shared" ref="Q7:Q17" si="2">SUM(N7:P7)</f>
        <v>33895</v>
      </c>
      <c r="R7" s="215">
        <f t="shared" ref="R7:R17" si="3">E7</f>
        <v>30790</v>
      </c>
      <c r="S7" s="215">
        <f t="shared" ref="S7:S17" si="4">E7+I7</f>
        <v>67200</v>
      </c>
      <c r="T7" s="215">
        <f t="shared" ref="T7:T17" si="5">E7+I7+M7</f>
        <v>109740</v>
      </c>
      <c r="U7" s="215">
        <f t="shared" ref="U7:U17" si="6">E7+I7+M7+Q7</f>
        <v>143635</v>
      </c>
      <c r="V7" s="216">
        <v>150000</v>
      </c>
      <c r="AA7" s="426"/>
    </row>
    <row r="8" spans="1:27" ht="21">
      <c r="A8" s="209" t="s">
        <v>42</v>
      </c>
      <c r="B8" s="210">
        <f>5000+35340.25</f>
        <v>40340.25</v>
      </c>
      <c r="C8" s="217">
        <f>50000</f>
        <v>50000</v>
      </c>
      <c r="D8" s="475">
        <f>10000+17670.12</f>
        <v>27670.12</v>
      </c>
      <c r="E8" s="211">
        <f t="shared" ref="E8:E18" si="7">SUM(B8:D8)</f>
        <v>118010.37</v>
      </c>
      <c r="F8" s="205">
        <f>5000+18715.4</f>
        <v>23715.4</v>
      </c>
      <c r="G8" s="219">
        <v>30000</v>
      </c>
      <c r="H8" s="219">
        <f>37430.8+10000+10000+50000</f>
        <v>107430.8</v>
      </c>
      <c r="I8" s="213">
        <f t="shared" si="0"/>
        <v>161146.20000000001</v>
      </c>
      <c r="J8" s="219">
        <f>1200+1000+7500</f>
        <v>9700</v>
      </c>
      <c r="K8" s="214">
        <f>7500+500000+37000+100000+6000+20000</f>
        <v>670500</v>
      </c>
      <c r="L8" s="214">
        <f>10350+1500+2000+4000+20000+1500</f>
        <v>39350</v>
      </c>
      <c r="M8" s="213">
        <f t="shared" si="1"/>
        <v>719550</v>
      </c>
      <c r="N8" s="214">
        <f>2000+60000+5000</f>
        <v>67000</v>
      </c>
      <c r="O8" s="214">
        <f>10000+500</f>
        <v>10500</v>
      </c>
      <c r="P8" s="214">
        <f>500000+500000+1000</f>
        <v>1001000</v>
      </c>
      <c r="Q8" s="214">
        <f t="shared" si="2"/>
        <v>1078500</v>
      </c>
      <c r="R8" s="215">
        <f t="shared" si="3"/>
        <v>118010.37</v>
      </c>
      <c r="S8" s="215">
        <f t="shared" si="4"/>
        <v>279156.57</v>
      </c>
      <c r="T8" s="215">
        <f t="shared" si="5"/>
        <v>998706.57000000007</v>
      </c>
      <c r="U8" s="215">
        <f t="shared" si="6"/>
        <v>2077206.57</v>
      </c>
      <c r="V8" s="216">
        <v>2000000</v>
      </c>
      <c r="AA8" s="426"/>
    </row>
    <row r="9" spans="1:27" ht="21">
      <c r="A9" s="209" t="s">
        <v>166</v>
      </c>
      <c r="B9" s="210"/>
      <c r="C9" s="217"/>
      <c r="D9" s="475">
        <v>30000</v>
      </c>
      <c r="E9" s="211">
        <f t="shared" si="7"/>
        <v>30000</v>
      </c>
      <c r="F9" s="205">
        <f>2000</f>
        <v>2000</v>
      </c>
      <c r="G9" s="219">
        <v>25000</v>
      </c>
      <c r="H9" s="219"/>
      <c r="I9" s="213">
        <f t="shared" si="0"/>
        <v>27000</v>
      </c>
      <c r="J9" s="219"/>
      <c r="K9" s="214"/>
      <c r="L9" s="214"/>
      <c r="M9" s="213">
        <f t="shared" si="1"/>
        <v>0</v>
      </c>
      <c r="N9" s="214">
        <v>20000</v>
      </c>
      <c r="O9" s="214">
        <f>50000+11000</f>
        <v>61000</v>
      </c>
      <c r="P9" s="214">
        <f>200000+20000</f>
        <v>220000</v>
      </c>
      <c r="Q9" s="214">
        <f t="shared" si="2"/>
        <v>301000</v>
      </c>
      <c r="R9" s="215">
        <f t="shared" si="3"/>
        <v>30000</v>
      </c>
      <c r="S9" s="215">
        <f t="shared" si="4"/>
        <v>57000</v>
      </c>
      <c r="T9" s="215">
        <f t="shared" si="5"/>
        <v>57000</v>
      </c>
      <c r="U9" s="215">
        <f t="shared" si="6"/>
        <v>358000</v>
      </c>
      <c r="V9" s="216">
        <v>650000</v>
      </c>
      <c r="AA9" s="426"/>
    </row>
    <row r="10" spans="1:27" s="9" customFormat="1" ht="21">
      <c r="A10" s="209" t="s">
        <v>110</v>
      </c>
      <c r="B10" s="217"/>
      <c r="C10" s="217"/>
      <c r="D10" s="475"/>
      <c r="E10" s="211">
        <f t="shared" si="7"/>
        <v>0</v>
      </c>
      <c r="F10" s="206"/>
      <c r="G10" s="219"/>
      <c r="H10" s="219"/>
      <c r="I10" s="213">
        <f t="shared" si="0"/>
        <v>0</v>
      </c>
      <c r="J10" s="219"/>
      <c r="K10" s="214"/>
      <c r="L10" s="214"/>
      <c r="M10" s="213">
        <f>SUM(J10:L10)</f>
        <v>0</v>
      </c>
      <c r="N10" s="214"/>
      <c r="O10" s="214"/>
      <c r="P10" s="214">
        <v>0</v>
      </c>
      <c r="Q10" s="214">
        <f t="shared" si="2"/>
        <v>0</v>
      </c>
      <c r="R10" s="215">
        <f t="shared" si="3"/>
        <v>0</v>
      </c>
      <c r="S10" s="215">
        <f t="shared" si="4"/>
        <v>0</v>
      </c>
      <c r="T10" s="215">
        <f t="shared" si="5"/>
        <v>0</v>
      </c>
      <c r="U10" s="215">
        <f t="shared" si="6"/>
        <v>0</v>
      </c>
      <c r="V10" s="220"/>
      <c r="AA10" s="426"/>
    </row>
    <row r="11" spans="1:27" ht="21">
      <c r="A11" s="209" t="s">
        <v>129</v>
      </c>
      <c r="B11" s="210"/>
      <c r="C11" s="217"/>
      <c r="D11" s="475"/>
      <c r="E11" s="211">
        <f t="shared" si="7"/>
        <v>0</v>
      </c>
      <c r="F11" s="205"/>
      <c r="G11" s="219"/>
      <c r="H11" s="219"/>
      <c r="I11" s="213">
        <f t="shared" si="0"/>
        <v>0</v>
      </c>
      <c r="J11" s="219"/>
      <c r="K11" s="214"/>
      <c r="L11" s="214"/>
      <c r="M11" s="213">
        <f t="shared" si="1"/>
        <v>0</v>
      </c>
      <c r="N11" s="214"/>
      <c r="O11" s="214"/>
      <c r="P11" s="214">
        <v>0</v>
      </c>
      <c r="Q11" s="214">
        <f t="shared" si="2"/>
        <v>0</v>
      </c>
      <c r="R11" s="215">
        <f t="shared" si="3"/>
        <v>0</v>
      </c>
      <c r="S11" s="215">
        <f t="shared" si="4"/>
        <v>0</v>
      </c>
      <c r="T11" s="215">
        <f t="shared" si="5"/>
        <v>0</v>
      </c>
      <c r="U11" s="215">
        <f t="shared" si="6"/>
        <v>0</v>
      </c>
      <c r="V11" s="216"/>
      <c r="AA11" s="426"/>
    </row>
    <row r="12" spans="1:27" ht="21">
      <c r="A12" s="209" t="s">
        <v>128</v>
      </c>
      <c r="B12" s="210"/>
      <c r="C12" s="217"/>
      <c r="D12" s="475"/>
      <c r="E12" s="211">
        <f t="shared" si="7"/>
        <v>0</v>
      </c>
      <c r="F12" s="205"/>
      <c r="G12" s="219"/>
      <c r="H12" s="219"/>
      <c r="I12" s="213">
        <f t="shared" si="0"/>
        <v>0</v>
      </c>
      <c r="J12" s="219"/>
      <c r="K12" s="214"/>
      <c r="L12" s="214"/>
      <c r="M12" s="213">
        <f t="shared" si="1"/>
        <v>0</v>
      </c>
      <c r="N12" s="214"/>
      <c r="O12" s="214"/>
      <c r="P12" s="214">
        <v>0</v>
      </c>
      <c r="Q12" s="214">
        <f>SUM(N12:P12)</f>
        <v>0</v>
      </c>
      <c r="R12" s="215">
        <f>E12</f>
        <v>0</v>
      </c>
      <c r="S12" s="215">
        <f>E12+I12</f>
        <v>0</v>
      </c>
      <c r="T12" s="215">
        <f>E12+I12+M12</f>
        <v>0</v>
      </c>
      <c r="U12" s="215">
        <f>E12+I12+M12+Q12</f>
        <v>0</v>
      </c>
      <c r="V12" s="216"/>
      <c r="AA12" s="426"/>
    </row>
    <row r="13" spans="1:27" ht="21">
      <c r="A13" s="209" t="s">
        <v>194</v>
      </c>
      <c r="B13" s="210"/>
      <c r="C13" s="217"/>
      <c r="D13" s="475"/>
      <c r="E13" s="211"/>
      <c r="F13" s="205"/>
      <c r="G13" s="219"/>
      <c r="H13" s="219"/>
      <c r="I13" s="213"/>
      <c r="J13" s="219"/>
      <c r="K13" s="214"/>
      <c r="L13" s="214"/>
      <c r="M13" s="213"/>
      <c r="N13" s="214"/>
      <c r="O13" s="214"/>
      <c r="P13" s="214">
        <v>100000</v>
      </c>
      <c r="Q13" s="214">
        <f>SUM(N13:P13)</f>
        <v>100000</v>
      </c>
      <c r="R13" s="215">
        <f>E13</f>
        <v>0</v>
      </c>
      <c r="S13" s="215">
        <f>E13+I13</f>
        <v>0</v>
      </c>
      <c r="T13" s="215">
        <f>E13+I13+M13</f>
        <v>0</v>
      </c>
      <c r="U13" s="215">
        <f>E13+I13+M13+Q13</f>
        <v>100000</v>
      </c>
      <c r="V13" s="216"/>
      <c r="AA13" s="426"/>
    </row>
    <row r="14" spans="1:27" ht="21">
      <c r="A14" s="209" t="s">
        <v>164</v>
      </c>
      <c r="B14" s="217"/>
      <c r="C14" s="217">
        <v>10685</v>
      </c>
      <c r="D14" s="475"/>
      <c r="E14" s="211">
        <f t="shared" si="7"/>
        <v>10685</v>
      </c>
      <c r="F14" s="205"/>
      <c r="G14" s="219"/>
      <c r="H14" s="219"/>
      <c r="I14" s="213">
        <f t="shared" si="0"/>
        <v>0</v>
      </c>
      <c r="J14" s="219"/>
      <c r="K14" s="214"/>
      <c r="L14" s="214"/>
      <c r="M14" s="213">
        <f t="shared" si="1"/>
        <v>0</v>
      </c>
      <c r="N14" s="214"/>
      <c r="O14" s="522"/>
      <c r="P14" s="214">
        <v>0</v>
      </c>
      <c r="Q14" s="214">
        <f t="shared" si="2"/>
        <v>0</v>
      </c>
      <c r="R14" s="215">
        <f t="shared" si="3"/>
        <v>10685</v>
      </c>
      <c r="S14" s="215">
        <f t="shared" si="4"/>
        <v>10685</v>
      </c>
      <c r="T14" s="215">
        <f t="shared" si="5"/>
        <v>10685</v>
      </c>
      <c r="U14" s="215">
        <f t="shared" si="6"/>
        <v>10685</v>
      </c>
      <c r="V14" s="216"/>
      <c r="X14" s="2">
        <f>SUM(U15:U18)</f>
        <v>8493760</v>
      </c>
      <c r="AA14" s="426"/>
    </row>
    <row r="15" spans="1:27" ht="21">
      <c r="A15" s="209" t="s">
        <v>8</v>
      </c>
      <c r="B15" s="210">
        <f>24180+20680+300+21180+33940</f>
        <v>100280</v>
      </c>
      <c r="C15" s="217">
        <f>21730+18030+18900+19790</f>
        <v>78450</v>
      </c>
      <c r="D15" s="475">
        <f>17270+21730+16960+23615+20450+1775+740</f>
        <v>102540</v>
      </c>
      <c r="E15" s="211">
        <f t="shared" si="7"/>
        <v>281270</v>
      </c>
      <c r="F15" s="205">
        <f>18560+1330+21930+17080+23940+1180</f>
        <v>84020</v>
      </c>
      <c r="G15" s="219">
        <f>1050+1390+17120+15890+18960+950+17570+14595</f>
        <v>87525</v>
      </c>
      <c r="H15" s="219">
        <f>14650+740+10865+15720+1020+15050+1220+300</f>
        <v>59565</v>
      </c>
      <c r="I15" s="213">
        <f t="shared" si="0"/>
        <v>231110</v>
      </c>
      <c r="J15" s="219">
        <f>12300+2880+14375+8820+15720+19715</f>
        <v>73810</v>
      </c>
      <c r="K15" s="214">
        <f>23110+23310+20555+24900+22540+2200+10</f>
        <v>116625</v>
      </c>
      <c r="L15" s="214">
        <f>21700+20930+25140+22040</f>
        <v>89810</v>
      </c>
      <c r="M15" s="213">
        <f t="shared" si="1"/>
        <v>280245</v>
      </c>
      <c r="N15" s="214">
        <f>21820+23050+17880+21395</f>
        <v>84145</v>
      </c>
      <c r="O15" s="214">
        <f>19275+18165+16070+15990+19615</f>
        <v>89115</v>
      </c>
      <c r="P15" s="214">
        <f>22700+19305+19475+22040</f>
        <v>83520</v>
      </c>
      <c r="Q15" s="214">
        <f>SUM(N15:P15)</f>
        <v>256780</v>
      </c>
      <c r="R15" s="215">
        <f>E15</f>
        <v>281270</v>
      </c>
      <c r="S15" s="215">
        <f>E15+I15</f>
        <v>512380</v>
      </c>
      <c r="T15" s="215">
        <f>E15+I15+M15</f>
        <v>792625</v>
      </c>
      <c r="U15" s="215">
        <f>E15+I15+M15+Q15</f>
        <v>1049405</v>
      </c>
      <c r="V15" s="216">
        <v>1000000</v>
      </c>
      <c r="W15" s="341">
        <v>0.03</v>
      </c>
      <c r="X15" s="2">
        <f>$X$14*W15</f>
        <v>254812.79999999999</v>
      </c>
      <c r="Y15" s="2">
        <f>X15-U88</f>
        <v>9507.7200000000012</v>
      </c>
      <c r="AA15" s="426"/>
    </row>
    <row r="16" spans="1:27" ht="21">
      <c r="A16" s="209" t="s">
        <v>38</v>
      </c>
      <c r="B16" s="210">
        <f>4440+3510+3670+4110</f>
        <v>15730</v>
      </c>
      <c r="C16" s="217">
        <f>3440+2940+3580+4000</f>
        <v>13960</v>
      </c>
      <c r="D16" s="475">
        <f>3180+4450+3820+3750</f>
        <v>15200</v>
      </c>
      <c r="E16" s="211">
        <f t="shared" si="7"/>
        <v>44890</v>
      </c>
      <c r="F16" s="205">
        <f>2770+3510+2820+4030</f>
        <v>13130</v>
      </c>
      <c r="G16" s="219">
        <f>3610+3080+4160+3600+4260</f>
        <v>18710</v>
      </c>
      <c r="H16" s="219">
        <f>3920+3015+3990+4405</f>
        <v>15330</v>
      </c>
      <c r="I16" s="213">
        <f t="shared" si="0"/>
        <v>47170</v>
      </c>
      <c r="J16" s="219">
        <f>3430+1120+5420+1640</f>
        <v>11610</v>
      </c>
      <c r="K16" s="214">
        <f>3955+4300+2000+3820+4145</f>
        <v>18220</v>
      </c>
      <c r="L16" s="214">
        <f>4020+2350+3200+3290</f>
        <v>12860</v>
      </c>
      <c r="M16" s="213">
        <f>SUM(J16:L16)</f>
        <v>42690</v>
      </c>
      <c r="N16" s="214">
        <f>2860+3030+2740+3170</f>
        <v>11800</v>
      </c>
      <c r="O16" s="214">
        <f>3340+3020+2840+2320+2410</f>
        <v>13930</v>
      </c>
      <c r="P16" s="214">
        <f>2880+2130+3010+3585</f>
        <v>11605</v>
      </c>
      <c r="Q16" s="214">
        <f>SUM(N16:P16)</f>
        <v>37335</v>
      </c>
      <c r="R16" s="215">
        <f>E16</f>
        <v>44890</v>
      </c>
      <c r="S16" s="215">
        <f>E16+I16</f>
        <v>92060</v>
      </c>
      <c r="T16" s="215">
        <f>E16+I16+M16</f>
        <v>134750</v>
      </c>
      <c r="U16" s="215">
        <f>E16+I16+M16+Q16</f>
        <v>172085</v>
      </c>
      <c r="V16" s="216">
        <v>170000</v>
      </c>
      <c r="W16" s="341">
        <v>7.0000000000000007E-2</v>
      </c>
      <c r="X16" s="2">
        <f>$X$14*W16</f>
        <v>594563.20000000007</v>
      </c>
      <c r="Y16" s="2">
        <f>X16-U89</f>
        <v>22184.680000000051</v>
      </c>
      <c r="AA16" s="426"/>
    </row>
    <row r="17" spans="1:27" ht="21">
      <c r="A17" s="209" t="s">
        <v>9</v>
      </c>
      <c r="B17" s="210">
        <f>28925+12260+116760</f>
        <v>157945</v>
      </c>
      <c r="C17" s="217">
        <f>25000+2890</f>
        <v>27890</v>
      </c>
      <c r="D17" s="475"/>
      <c r="E17" s="211">
        <f t="shared" si="7"/>
        <v>185835</v>
      </c>
      <c r="F17" s="205">
        <f>6280</f>
        <v>6280</v>
      </c>
      <c r="G17" s="219">
        <f>10000+20735+500+500+4415</f>
        <v>36150</v>
      </c>
      <c r="H17" s="219">
        <f>6740+13970+500</f>
        <v>21210</v>
      </c>
      <c r="I17" s="213">
        <f t="shared" si="0"/>
        <v>63640</v>
      </c>
      <c r="J17" s="219">
        <f>4110</f>
        <v>4110</v>
      </c>
      <c r="K17" s="214">
        <f>2350</f>
        <v>2350</v>
      </c>
      <c r="L17" s="214">
        <f>20610+3300</f>
        <v>23910</v>
      </c>
      <c r="M17" s="213">
        <f t="shared" si="1"/>
        <v>30370</v>
      </c>
      <c r="N17" s="214">
        <f>3350+7870</f>
        <v>11220</v>
      </c>
      <c r="O17" s="214">
        <f>78720+50000+500+5980+20000</f>
        <v>155200</v>
      </c>
      <c r="P17" s="214">
        <f>2800+1000+22535+31280</f>
        <v>57615</v>
      </c>
      <c r="Q17" s="214">
        <f t="shared" si="2"/>
        <v>224035</v>
      </c>
      <c r="R17" s="215">
        <f t="shared" si="3"/>
        <v>185835</v>
      </c>
      <c r="S17" s="215">
        <f t="shared" si="4"/>
        <v>249475</v>
      </c>
      <c r="T17" s="215">
        <f t="shared" si="5"/>
        <v>279845</v>
      </c>
      <c r="U17" s="215">
        <f t="shared" si="6"/>
        <v>503880</v>
      </c>
      <c r="V17" s="216">
        <v>650000</v>
      </c>
      <c r="W17" s="341">
        <v>0.2</v>
      </c>
      <c r="X17" s="2">
        <f>$X$14*W17</f>
        <v>1698752</v>
      </c>
      <c r="Y17" s="2">
        <f>X17-U90</f>
        <v>63384.799999999814</v>
      </c>
    </row>
    <row r="18" spans="1:27" ht="21">
      <c r="A18" s="209" t="s">
        <v>7</v>
      </c>
      <c r="B18" s="210">
        <f>3000+2470+12000+132547+20000+6000+18000+33000+5100+234742+2500+25000+6000+38000+9000+25000+23500+7000+38340+16800+17500+69850+5600</f>
        <v>750949</v>
      </c>
      <c r="C18" s="217">
        <f>45000+7000+147500+4000+600+6000+2500+27000+6500+3000+5600+9000+40000+40500+14650+6500+30250</f>
        <v>395600</v>
      </c>
      <c r="D18" s="475">
        <f>94800+36000+11400+28500+70500+15000+2000+261831+4000+10000+10000+3000+45000+53000+9000+7500+6850+20000+9800+20000+5000+4000+34500</f>
        <v>761681</v>
      </c>
      <c r="E18" s="211">
        <f t="shared" si="7"/>
        <v>1908230</v>
      </c>
      <c r="F18" s="205">
        <f>9600+500+28750+15800+6100+4000+45000+2000+2500+1000+1000+3000+1000+2600+167690+2000+14000+4000+22000+60000+9800+2000+9000+2000+20000</f>
        <v>435340</v>
      </c>
      <c r="G18" s="219">
        <f>88000+18400+9600+500+500+16650+91300+18500+7000+3000+5000+5000+2000+2500+1300+2000+2460+4000+45000+21000+5000+9800+9000+46500</f>
        <v>414010</v>
      </c>
      <c r="H18" s="219">
        <f>41300+15050+18000+30000+1500+10000+9000+2500+2100+184930+8500+1000+4000+10000+7500+2500+5940+21400+15000+4500+11000+22000</f>
        <v>427720</v>
      </c>
      <c r="I18" s="213">
        <f t="shared" si="0"/>
        <v>1277070</v>
      </c>
      <c r="J18" s="219">
        <f>26900+22750+28960+2800+16850+58350+36700+8000+9800+212992+45000+2000+3000+2100+6000+2000+10000+6000+18000+2500+5500+9800+11000+9100+27000+10000</f>
        <v>593102</v>
      </c>
      <c r="K18" s="214">
        <f>42750+12300+14600+13650+95370+10000+205950+45000+2100+15000+10000+2000+2500+2000+3500+20000+2500+8000+5000+3000+2000+10000+10000+27000+9000+5000+18000+45000</f>
        <v>641220</v>
      </c>
      <c r="L18" s="214">
        <f>66300+30000+2050+15700+69410+9800+11000+3500+5000+2000+2000+153390+5900+11000+5100+9000+17300+14000+27000+5000+20000+9800</f>
        <v>494250</v>
      </c>
      <c r="M18" s="213">
        <f>SUM(J18:L18)</f>
        <v>1728572</v>
      </c>
      <c r="N18" s="214">
        <f>85650+21500+13800+58600+6500+200842+8000+2500+2000+4000+13500+5700+2000+2000+20000+175493+10000+12000+8000</f>
        <v>652085</v>
      </c>
      <c r="O18" s="214">
        <f>9800+45000+10000+4000+2000+5930+11000+20000+10000+18000+92940+43700+25200+39170+9750</f>
        <v>346490</v>
      </c>
      <c r="P18" s="214">
        <f>61800+1000+15560+23900+25000+17000+9800+13000+10000+2000+44000+8000+4000+3000+182602+1000+20000+6000+4000+3000+13000+209424+30000+3000+11000+17557+1000+24000+9800+40000+2500+40000</f>
        <v>855943</v>
      </c>
      <c r="Q18" s="214">
        <f>SUM(N18:P18)</f>
        <v>1854518</v>
      </c>
      <c r="R18" s="215">
        <f>E18</f>
        <v>1908230</v>
      </c>
      <c r="S18" s="215">
        <f>E18+I18</f>
        <v>3185300</v>
      </c>
      <c r="T18" s="215">
        <f>E18+I18+M18</f>
        <v>4913872</v>
      </c>
      <c r="U18" s="215">
        <f>E18+I18+M18+Q18</f>
        <v>6768390</v>
      </c>
      <c r="V18" s="216">
        <v>7800000</v>
      </c>
      <c r="X18" s="2">
        <f>0.3*X14</f>
        <v>2548128</v>
      </c>
      <c r="Y18" s="2">
        <f>SUM(Y15:Y17)</f>
        <v>95077.199999999866</v>
      </c>
    </row>
    <row r="19" spans="1:27" ht="21">
      <c r="A19" s="221" t="s">
        <v>112</v>
      </c>
      <c r="B19" s="222">
        <f>SUM(B6:B18)</f>
        <v>1077829.22</v>
      </c>
      <c r="C19" s="222">
        <f t="shared" ref="C19:U19" si="8">SUM(C6:C18)</f>
        <v>585545</v>
      </c>
      <c r="D19" s="476">
        <f>SUM(D6:D18)</f>
        <v>946513.45</v>
      </c>
      <c r="E19" s="222">
        <f t="shared" si="8"/>
        <v>2609887.67</v>
      </c>
      <c r="F19" s="222">
        <f>SUM(F6:F18)</f>
        <v>574542.53</v>
      </c>
      <c r="G19" s="222">
        <f>SUM(G6:G18)</f>
        <v>627829.51</v>
      </c>
      <c r="H19" s="222">
        <f>SUM(H6:H18)</f>
        <v>641577.82000000007</v>
      </c>
      <c r="I19" s="222">
        <f t="shared" si="8"/>
        <v>1843949.8599999999</v>
      </c>
      <c r="J19" s="348">
        <f t="shared" si="8"/>
        <v>708544.32000000007</v>
      </c>
      <c r="K19" s="222">
        <f t="shared" si="8"/>
        <v>1463723.9300000002</v>
      </c>
      <c r="L19" s="222">
        <f>SUM(L6:L18)</f>
        <v>671933.88</v>
      </c>
      <c r="M19" s="222">
        <f t="shared" si="8"/>
        <v>2844202.13</v>
      </c>
      <c r="N19" s="222">
        <f t="shared" si="8"/>
        <v>857397.66</v>
      </c>
      <c r="O19" s="222">
        <f t="shared" si="8"/>
        <v>683665.44</v>
      </c>
      <c r="P19" s="222">
        <f t="shared" si="8"/>
        <v>2345072.4500000002</v>
      </c>
      <c r="Q19" s="222">
        <f t="shared" si="8"/>
        <v>3886135.55</v>
      </c>
      <c r="R19" s="223">
        <f>SUM(R6:R18)</f>
        <v>2609887.67</v>
      </c>
      <c r="S19" s="223">
        <f>SUM(S6:S18)</f>
        <v>4453837.53</v>
      </c>
      <c r="T19" s="223">
        <f>SUM(T6:T18)</f>
        <v>7298039.6600000001</v>
      </c>
      <c r="U19" s="223">
        <f t="shared" si="8"/>
        <v>11184175.210000001</v>
      </c>
      <c r="V19" s="316">
        <f>SUM(V6:V18)</f>
        <v>12421000</v>
      </c>
    </row>
    <row r="20" spans="1:27" ht="21">
      <c r="A20" s="224" t="s">
        <v>75</v>
      </c>
      <c r="B20" s="225">
        <f>570400.58-54417-23564.84-123373.04-195388.8-17100</f>
        <v>156556.89999999997</v>
      </c>
      <c r="C20" s="226">
        <f>B98+B99+B100</f>
        <v>856540.84</v>
      </c>
      <c r="D20" s="477">
        <f>C98+C99+C100</f>
        <v>190950.40000000002</v>
      </c>
      <c r="E20" s="227">
        <f>B20</f>
        <v>156556.89999999997</v>
      </c>
      <c r="F20" s="228">
        <f>D98+D99+D100</f>
        <v>421483.18</v>
      </c>
      <c r="G20" s="228">
        <f>F98+F99+F100</f>
        <v>847811.97</v>
      </c>
      <c r="H20" s="228">
        <f>G98+G99+G100</f>
        <v>505705.12</v>
      </c>
      <c r="I20" s="228">
        <f>F20</f>
        <v>421483.18</v>
      </c>
      <c r="J20" s="228">
        <f>I98+I99+I100</f>
        <v>143259.63999999996</v>
      </c>
      <c r="K20" s="228">
        <f>J98+J99+J100</f>
        <v>238331.69</v>
      </c>
      <c r="L20" s="228">
        <f>K98+K99+K100</f>
        <v>377447.95</v>
      </c>
      <c r="M20" s="229">
        <f>J20</f>
        <v>143259.63999999996</v>
      </c>
      <c r="N20" s="228">
        <f>M98+M99+M100</f>
        <v>718770.67</v>
      </c>
      <c r="O20" s="228">
        <f>N98+N99+N100</f>
        <v>239976.82</v>
      </c>
      <c r="P20" s="228">
        <f>O98+O99+O100</f>
        <v>469088.29</v>
      </c>
      <c r="Q20" s="229">
        <f>N20</f>
        <v>718770.67</v>
      </c>
      <c r="R20" s="230">
        <f>$B$20</f>
        <v>156556.89999999997</v>
      </c>
      <c r="S20" s="230">
        <f>$B$20</f>
        <v>156556.89999999997</v>
      </c>
      <c r="T20" s="230">
        <f>$B$20</f>
        <v>156556.89999999997</v>
      </c>
      <c r="U20" s="230">
        <f>$B$20</f>
        <v>156556.89999999997</v>
      </c>
      <c r="V20" s="315">
        <v>156556.89999999997</v>
      </c>
    </row>
    <row r="21" spans="1:27" ht="21">
      <c r="A21" s="209" t="s">
        <v>72</v>
      </c>
      <c r="B21" s="203">
        <f>22788.36+17100</f>
        <v>39888.36</v>
      </c>
      <c r="C21" s="226">
        <f>B101</f>
        <v>52428.33</v>
      </c>
      <c r="D21" s="477">
        <f>C101</f>
        <v>44288.33</v>
      </c>
      <c r="E21" s="231">
        <f>B21</f>
        <v>39888.36</v>
      </c>
      <c r="F21" s="228">
        <f>D101</f>
        <v>8060.66</v>
      </c>
      <c r="G21" s="228">
        <f>F101</f>
        <v>17957.079999999987</v>
      </c>
      <c r="H21" s="228">
        <f>G101</f>
        <v>73242.14</v>
      </c>
      <c r="I21" s="228">
        <f>F21</f>
        <v>8060.66</v>
      </c>
      <c r="J21" s="228">
        <f>I101</f>
        <v>33504.160000000003</v>
      </c>
      <c r="K21" s="228">
        <f>J101</f>
        <v>49671.48</v>
      </c>
      <c r="L21" s="228">
        <f>K101</f>
        <v>64411.519999999997</v>
      </c>
      <c r="M21" s="229">
        <f>J21</f>
        <v>33504.160000000003</v>
      </c>
      <c r="N21" s="228">
        <f>M101</f>
        <v>16097.01</v>
      </c>
      <c r="O21" s="228">
        <f>N101</f>
        <v>19152.900000000001</v>
      </c>
      <c r="P21" s="228">
        <f>O101</f>
        <v>26504.799999999999</v>
      </c>
      <c r="Q21" s="229">
        <f>N21</f>
        <v>16097.01</v>
      </c>
      <c r="R21" s="230">
        <f>$B$21</f>
        <v>39888.36</v>
      </c>
      <c r="S21" s="230">
        <f>$B$21</f>
        <v>39888.36</v>
      </c>
      <c r="T21" s="230">
        <f>$B$21</f>
        <v>39888.36</v>
      </c>
      <c r="U21" s="230">
        <f>$B$21</f>
        <v>39888.36</v>
      </c>
      <c r="V21" s="315">
        <v>39888.36</v>
      </c>
    </row>
    <row r="22" spans="1:27" ht="21">
      <c r="A22" s="209" t="s">
        <v>73</v>
      </c>
      <c r="B22" s="203">
        <f>633235.5-102000</f>
        <v>531235.5</v>
      </c>
      <c r="C22" s="226">
        <f>B102+B103+B104</f>
        <v>571425.75</v>
      </c>
      <c r="D22" s="477">
        <f>C102+C103+C104</f>
        <v>159915.75</v>
      </c>
      <c r="E22" s="231">
        <f>B22</f>
        <v>531235.5</v>
      </c>
      <c r="F22" s="228">
        <f>D102+D103+D104</f>
        <v>187507.87</v>
      </c>
      <c r="G22" s="228">
        <f>F102+F103+F104</f>
        <v>261157.27</v>
      </c>
      <c r="H22" s="228">
        <f>G102+G103+G104</f>
        <v>246095.27</v>
      </c>
      <c r="I22" s="228">
        <f>E102+E103+E104</f>
        <v>187507.87</v>
      </c>
      <c r="J22" s="228">
        <f>I102+I103+I104</f>
        <v>753398.07000000007</v>
      </c>
      <c r="K22" s="228">
        <f>J102+J103+J104</f>
        <v>161970.07</v>
      </c>
      <c r="L22" s="228">
        <f>K102+K103+K104</f>
        <v>303932.07</v>
      </c>
      <c r="M22" s="229">
        <f>J22</f>
        <v>753398.07000000007</v>
      </c>
      <c r="N22" s="228">
        <f>M102+M103+M104</f>
        <v>343234.07</v>
      </c>
      <c r="O22" s="228">
        <f>N102+N103+N104</f>
        <v>694094.07</v>
      </c>
      <c r="P22" s="228">
        <f>O102+O103+O104</f>
        <v>566432.06999999995</v>
      </c>
      <c r="Q22" s="229">
        <f>N22</f>
        <v>343234.07</v>
      </c>
      <c r="R22" s="230">
        <f>$B$22</f>
        <v>531235.5</v>
      </c>
      <c r="S22" s="230">
        <f>$B$22</f>
        <v>531235.5</v>
      </c>
      <c r="T22" s="230">
        <f>$B$22</f>
        <v>531235.5</v>
      </c>
      <c r="U22" s="230">
        <f>$B$22</f>
        <v>531235.5</v>
      </c>
      <c r="V22" s="315">
        <v>531235.5</v>
      </c>
    </row>
    <row r="23" spans="1:27" ht="21">
      <c r="A23" s="209" t="s">
        <v>124</v>
      </c>
      <c r="B23" s="203">
        <v>4190</v>
      </c>
      <c r="C23" s="226">
        <f>B105</f>
        <v>190</v>
      </c>
      <c r="D23" s="477">
        <f>C105</f>
        <v>1000</v>
      </c>
      <c r="E23" s="231">
        <f>B23</f>
        <v>4190</v>
      </c>
      <c r="F23" s="228">
        <f>D105</f>
        <v>2000</v>
      </c>
      <c r="G23" s="228">
        <f>F105</f>
        <v>0</v>
      </c>
      <c r="H23" s="228">
        <f>G105</f>
        <v>3000</v>
      </c>
      <c r="I23" s="228">
        <f>E105</f>
        <v>2000</v>
      </c>
      <c r="J23" s="228">
        <f>I105</f>
        <v>1000</v>
      </c>
      <c r="K23" s="228">
        <f>J105</f>
        <v>1000</v>
      </c>
      <c r="L23" s="228">
        <f>K105</f>
        <v>1000</v>
      </c>
      <c r="M23" s="229">
        <f>J23</f>
        <v>1000</v>
      </c>
      <c r="N23" s="228">
        <f>M105</f>
        <v>3000</v>
      </c>
      <c r="O23" s="228">
        <f>N105</f>
        <v>3500</v>
      </c>
      <c r="P23" s="228">
        <f>O105</f>
        <v>1500</v>
      </c>
      <c r="Q23" s="229">
        <f>N23</f>
        <v>3000</v>
      </c>
      <c r="R23" s="230">
        <f>$B$23</f>
        <v>4190</v>
      </c>
      <c r="S23" s="230">
        <f>$B$23</f>
        <v>4190</v>
      </c>
      <c r="T23" s="230">
        <f>$B$23</f>
        <v>4190</v>
      </c>
      <c r="U23" s="230">
        <f>$B$23</f>
        <v>4190</v>
      </c>
      <c r="V23" s="315">
        <v>4190</v>
      </c>
    </row>
    <row r="24" spans="1:27" ht="21">
      <c r="A24" s="209" t="s">
        <v>161</v>
      </c>
      <c r="B24" s="217">
        <f>SUM(B20:B23)</f>
        <v>731870.76</v>
      </c>
      <c r="C24" s="217">
        <f>SUM(C20:C23)</f>
        <v>1480584.92</v>
      </c>
      <c r="D24" s="478">
        <f t="shared" ref="D24:Q24" si="9">SUM(D20:D23)</f>
        <v>396154.48000000004</v>
      </c>
      <c r="E24" s="211">
        <f t="shared" si="9"/>
        <v>731870.76</v>
      </c>
      <c r="F24" s="346">
        <f t="shared" si="9"/>
        <v>619051.71</v>
      </c>
      <c r="G24" s="211">
        <f t="shared" si="9"/>
        <v>1126926.3199999998</v>
      </c>
      <c r="H24" s="211">
        <f t="shared" si="9"/>
        <v>828042.53</v>
      </c>
      <c r="I24" s="211">
        <f>SUM(I20:I23)</f>
        <v>619051.71</v>
      </c>
      <c r="J24" s="346">
        <f t="shared" si="9"/>
        <v>931161.87</v>
      </c>
      <c r="K24" s="211">
        <f t="shared" si="9"/>
        <v>450973.24</v>
      </c>
      <c r="L24" s="211">
        <f>SUM(L20:L23)</f>
        <v>746791.54</v>
      </c>
      <c r="M24" s="213">
        <f t="shared" si="9"/>
        <v>931161.87</v>
      </c>
      <c r="N24" s="213">
        <f>SUM(N20:N23)</f>
        <v>1081101.75</v>
      </c>
      <c r="O24" s="214">
        <f>SUM(O20:O23)</f>
        <v>956723.78999999992</v>
      </c>
      <c r="P24" s="214">
        <f t="shared" si="9"/>
        <v>1063525.1599999999</v>
      </c>
      <c r="Q24" s="214">
        <f t="shared" si="9"/>
        <v>1081101.75</v>
      </c>
      <c r="R24" s="230">
        <f>$B$24</f>
        <v>731870.76</v>
      </c>
      <c r="S24" s="230">
        <f>$B$24</f>
        <v>731870.76</v>
      </c>
      <c r="T24" s="230">
        <f>$B$24</f>
        <v>731870.76</v>
      </c>
      <c r="U24" s="230">
        <f>$B$24</f>
        <v>731870.76</v>
      </c>
      <c r="V24" s="315"/>
      <c r="X24" s="3"/>
      <c r="Y24" s="3">
        <v>752664.65</v>
      </c>
      <c r="Z24" s="3">
        <v>753896.77</v>
      </c>
      <c r="AA24" s="426"/>
    </row>
    <row r="25" spans="1:27" ht="21">
      <c r="A25" s="232" t="s">
        <v>108</v>
      </c>
      <c r="B25" s="233">
        <f>SUM(B19:B23)</f>
        <v>1809699.98</v>
      </c>
      <c r="C25" s="233">
        <f t="shared" ref="C25:T25" si="10">SUM(C19:C23)</f>
        <v>2066129.9199999999</v>
      </c>
      <c r="D25" s="479">
        <f>SUM(D19:D23)</f>
        <v>1342667.9300000002</v>
      </c>
      <c r="E25" s="233">
        <f t="shared" si="10"/>
        <v>3341758.4299999997</v>
      </c>
      <c r="F25" s="347">
        <f>SUM(F19:F23)</f>
        <v>1193594.24</v>
      </c>
      <c r="G25" s="233">
        <f>SUM(G19:G23)</f>
        <v>1754755.83</v>
      </c>
      <c r="H25" s="233">
        <f>SUM(H19:H23)</f>
        <v>1469620.3499999999</v>
      </c>
      <c r="I25" s="233">
        <f t="shared" si="10"/>
        <v>2463001.5700000003</v>
      </c>
      <c r="J25" s="347">
        <f t="shared" si="10"/>
        <v>1639706.19</v>
      </c>
      <c r="K25" s="233">
        <f t="shared" si="10"/>
        <v>1914697.1700000002</v>
      </c>
      <c r="L25" s="233">
        <f>SUM(L19:L23)</f>
        <v>1418725.4200000002</v>
      </c>
      <c r="M25" s="233">
        <f t="shared" si="10"/>
        <v>3775364</v>
      </c>
      <c r="N25" s="233">
        <f t="shared" si="10"/>
        <v>1938499.4100000001</v>
      </c>
      <c r="O25" s="233">
        <f t="shared" si="10"/>
        <v>1640389.23</v>
      </c>
      <c r="P25" s="233">
        <f t="shared" si="10"/>
        <v>3408597.61</v>
      </c>
      <c r="Q25" s="233">
        <f t="shared" si="10"/>
        <v>4967237.3</v>
      </c>
      <c r="R25" s="223">
        <f t="shared" si="10"/>
        <v>3341758.4299999997</v>
      </c>
      <c r="S25" s="223">
        <f t="shared" si="10"/>
        <v>5185708.290000001</v>
      </c>
      <c r="T25" s="223">
        <f t="shared" si="10"/>
        <v>8029910.4200000009</v>
      </c>
      <c r="U25" s="223">
        <f>SUM(U19:U23)</f>
        <v>11916045.970000001</v>
      </c>
      <c r="V25" s="233">
        <f>SUM(V19:V23)</f>
        <v>13152870.76</v>
      </c>
      <c r="X25" s="100">
        <v>-135189.06</v>
      </c>
      <c r="Y25" s="3">
        <f>Y24+X25</f>
        <v>617475.59000000008</v>
      </c>
      <c r="Z25" s="3">
        <v>-135189.06</v>
      </c>
      <c r="AA25" s="426"/>
    </row>
    <row r="26" spans="1:27" s="9" customFormat="1" ht="21">
      <c r="A26" s="232" t="s">
        <v>88</v>
      </c>
      <c r="B26" s="217"/>
      <c r="C26" s="217"/>
      <c r="D26" s="478"/>
      <c r="E26" s="217"/>
      <c r="F26" s="217"/>
      <c r="G26" s="217"/>
      <c r="H26" s="217"/>
      <c r="I26" s="217"/>
      <c r="J26" s="219"/>
      <c r="K26" s="234"/>
      <c r="L26" s="235"/>
      <c r="M26" s="214"/>
      <c r="N26" s="214"/>
      <c r="O26" s="214"/>
      <c r="P26" s="214"/>
      <c r="Q26" s="214"/>
      <c r="R26" s="215"/>
      <c r="S26" s="215"/>
      <c r="T26" s="215"/>
      <c r="U26" s="236"/>
      <c r="V26" s="220"/>
      <c r="X26" s="528">
        <v>-47103.08</v>
      </c>
      <c r="Y26" s="3">
        <f t="shared" ref="Y26:Y40" si="11">Y25+X26</f>
        <v>570372.51000000013</v>
      </c>
      <c r="Z26" s="188"/>
      <c r="AA26" s="426">
        <v>120000</v>
      </c>
    </row>
    <row r="27" spans="1:27" ht="21">
      <c r="A27" s="237" t="s">
        <v>76</v>
      </c>
      <c r="B27" s="204">
        <f t="shared" ref="B27:Q27" si="12">SUM(B28:B54)</f>
        <v>82800</v>
      </c>
      <c r="C27" s="204">
        <f t="shared" si="12"/>
        <v>461420</v>
      </c>
      <c r="D27" s="480">
        <f>SUM(D28:D54)</f>
        <v>165000</v>
      </c>
      <c r="E27" s="204">
        <f t="shared" si="12"/>
        <v>709220</v>
      </c>
      <c r="F27" s="204">
        <f t="shared" si="12"/>
        <v>0</v>
      </c>
      <c r="G27" s="204">
        <f>SUM(G28:G54)</f>
        <v>144620</v>
      </c>
      <c r="H27" s="204">
        <f t="shared" si="12"/>
        <v>68500</v>
      </c>
      <c r="I27" s="204">
        <f t="shared" si="12"/>
        <v>213120</v>
      </c>
      <c r="J27" s="206">
        <f t="shared" si="12"/>
        <v>317600</v>
      </c>
      <c r="K27" s="204">
        <f t="shared" si="12"/>
        <v>69610</v>
      </c>
      <c r="L27" s="204">
        <f>SUM(L28:L54)</f>
        <v>140150</v>
      </c>
      <c r="M27" s="206">
        <f t="shared" si="12"/>
        <v>527360</v>
      </c>
      <c r="N27" s="206">
        <f>SUM(N28:N54)</f>
        <v>94000</v>
      </c>
      <c r="O27" s="206">
        <f>SUM(O28:O54)</f>
        <v>66800</v>
      </c>
      <c r="P27" s="206">
        <f t="shared" si="12"/>
        <v>432900</v>
      </c>
      <c r="Q27" s="206">
        <f t="shared" si="12"/>
        <v>593700</v>
      </c>
      <c r="R27" s="238">
        <f>SUM(R28:R54)</f>
        <v>709220</v>
      </c>
      <c r="S27" s="238">
        <f>SUM(S28:S54)</f>
        <v>922340</v>
      </c>
      <c r="T27" s="238">
        <f>SUM(T28:T54)</f>
        <v>1449700</v>
      </c>
      <c r="U27" s="215">
        <f>SUM(U28:U54)</f>
        <v>2043400</v>
      </c>
      <c r="V27" s="220">
        <f>SUM(V28:V53)</f>
        <v>3557000</v>
      </c>
      <c r="X27" s="100">
        <f>-20000-15000-7000-7000</f>
        <v>-49000</v>
      </c>
      <c r="Y27" s="3">
        <f t="shared" si="11"/>
        <v>521372.51000000013</v>
      </c>
      <c r="Z27" s="3"/>
      <c r="AA27" s="426">
        <v>80000</v>
      </c>
    </row>
    <row r="28" spans="1:27" ht="21">
      <c r="A28" s="239" t="s">
        <v>3</v>
      </c>
      <c r="B28" s="231"/>
      <c r="C28" s="203">
        <v>19500</v>
      </c>
      <c r="D28" s="472">
        <v>45000</v>
      </c>
      <c r="E28" s="204">
        <f>SUM(B28:D28)</f>
        <v>64500</v>
      </c>
      <c r="F28" s="203"/>
      <c r="G28" s="203"/>
      <c r="H28" s="203">
        <v>50000</v>
      </c>
      <c r="I28" s="204">
        <f>SUM(F28:H28)</f>
        <v>50000</v>
      </c>
      <c r="J28" s="205">
        <f>250000+10000</f>
        <v>260000</v>
      </c>
      <c r="K28" s="203"/>
      <c r="L28" s="203">
        <v>60000</v>
      </c>
      <c r="M28" s="206">
        <f>SUM(J28:L28)</f>
        <v>320000</v>
      </c>
      <c r="N28" s="240">
        <f>8000</f>
        <v>8000</v>
      </c>
      <c r="O28" s="240"/>
      <c r="P28" s="240">
        <f>50000-7200</f>
        <v>42800</v>
      </c>
      <c r="Q28" s="206">
        <f t="shared" ref="Q28:Q48" si="13">SUM(N28:P28)</f>
        <v>50800</v>
      </c>
      <c r="R28" s="215">
        <f t="shared" ref="R28:R68" si="14">E28</f>
        <v>64500</v>
      </c>
      <c r="S28" s="215">
        <f t="shared" ref="S28:S68" si="15">E28+I28</f>
        <v>114500</v>
      </c>
      <c r="T28" s="215">
        <f t="shared" ref="T28:T68" si="16">E28+I28+M28</f>
        <v>434500</v>
      </c>
      <c r="U28" s="215">
        <f t="shared" ref="U28:U68" si="17">E28+I28+M28+Q28</f>
        <v>485300</v>
      </c>
      <c r="V28" s="216">
        <v>250000</v>
      </c>
      <c r="X28" s="100">
        <f>-37652-37652</f>
        <v>-75304</v>
      </c>
      <c r="Y28" s="3">
        <f t="shared" si="11"/>
        <v>446068.51000000013</v>
      </c>
      <c r="Z28" s="3"/>
      <c r="AA28" s="426">
        <v>65500</v>
      </c>
    </row>
    <row r="29" spans="1:27" ht="21">
      <c r="A29" s="239" t="s">
        <v>50</v>
      </c>
      <c r="B29" s="231">
        <f>4000+9000</f>
        <v>13000</v>
      </c>
      <c r="C29" s="203">
        <f>4000</f>
        <v>4000</v>
      </c>
      <c r="D29" s="472">
        <v>4000</v>
      </c>
      <c r="E29" s="204">
        <f t="shared" ref="E29:E48" si="18">SUM(B29:D29)</f>
        <v>21000</v>
      </c>
      <c r="F29" s="203"/>
      <c r="G29" s="203"/>
      <c r="H29" s="203"/>
      <c r="I29" s="204">
        <f t="shared" ref="I29:I48" si="19">SUM(F29:H29)</f>
        <v>0</v>
      </c>
      <c r="J29" s="205">
        <v>4000</v>
      </c>
      <c r="K29" s="203">
        <v>4000</v>
      </c>
      <c r="L29" s="203">
        <f>4000+8450</f>
        <v>12450</v>
      </c>
      <c r="M29" s="206">
        <f t="shared" ref="M29:M48" si="20">SUM(J29:L29)</f>
        <v>20450</v>
      </c>
      <c r="N29" s="240">
        <v>4000</v>
      </c>
      <c r="O29" s="240">
        <v>4000</v>
      </c>
      <c r="P29" s="240">
        <f>70000+4000</f>
        <v>74000</v>
      </c>
      <c r="Q29" s="206">
        <f t="shared" si="13"/>
        <v>82000</v>
      </c>
      <c r="R29" s="215">
        <f t="shared" si="14"/>
        <v>21000</v>
      </c>
      <c r="S29" s="215">
        <f t="shared" si="15"/>
        <v>21000</v>
      </c>
      <c r="T29" s="215">
        <f t="shared" si="16"/>
        <v>41450</v>
      </c>
      <c r="U29" s="215">
        <f t="shared" si="17"/>
        <v>123450</v>
      </c>
      <c r="V29" s="216">
        <v>260000</v>
      </c>
      <c r="X29" s="3">
        <v>-2050</v>
      </c>
      <c r="Y29" s="3">
        <f t="shared" si="11"/>
        <v>444018.51000000013</v>
      </c>
      <c r="Z29" s="3"/>
      <c r="AA29" s="426">
        <v>39000</v>
      </c>
    </row>
    <row r="30" spans="1:27" ht="21">
      <c r="A30" s="239" t="s">
        <v>4</v>
      </c>
      <c r="B30" s="231"/>
      <c r="C30" s="203"/>
      <c r="D30" s="472"/>
      <c r="E30" s="204">
        <f t="shared" si="18"/>
        <v>0</v>
      </c>
      <c r="F30" s="203"/>
      <c r="G30" s="203">
        <v>6620</v>
      </c>
      <c r="H30" s="203"/>
      <c r="I30" s="204">
        <f t="shared" si="19"/>
        <v>6620</v>
      </c>
      <c r="J30" s="205"/>
      <c r="K30" s="203"/>
      <c r="L30" s="203"/>
      <c r="M30" s="206">
        <f t="shared" si="20"/>
        <v>0</v>
      </c>
      <c r="N30" s="240"/>
      <c r="O30" s="240"/>
      <c r="P30" s="240">
        <v>20000</v>
      </c>
      <c r="Q30" s="206">
        <f>SUM(N30:P30)</f>
        <v>20000</v>
      </c>
      <c r="R30" s="215">
        <f t="shared" si="14"/>
        <v>0</v>
      </c>
      <c r="S30" s="215">
        <f t="shared" si="15"/>
        <v>6620</v>
      </c>
      <c r="T30" s="215">
        <f t="shared" si="16"/>
        <v>6620</v>
      </c>
      <c r="U30" s="215">
        <f t="shared" si="17"/>
        <v>26620</v>
      </c>
      <c r="V30" s="216">
        <v>50000</v>
      </c>
      <c r="X30" s="3">
        <v>-5000</v>
      </c>
      <c r="Y30" s="3">
        <f t="shared" si="11"/>
        <v>439018.51000000013</v>
      </c>
      <c r="Z30" s="3"/>
      <c r="AA30" s="426">
        <v>68000</v>
      </c>
    </row>
    <row r="31" spans="1:27" ht="21">
      <c r="A31" s="239" t="s">
        <v>46</v>
      </c>
      <c r="B31" s="231"/>
      <c r="C31" s="203"/>
      <c r="D31" s="472"/>
      <c r="E31" s="204">
        <f t="shared" si="18"/>
        <v>0</v>
      </c>
      <c r="F31" s="203"/>
      <c r="G31" s="203"/>
      <c r="H31" s="203"/>
      <c r="I31" s="204">
        <f t="shared" si="19"/>
        <v>0</v>
      </c>
      <c r="J31" s="205"/>
      <c r="K31" s="203"/>
      <c r="L31" s="203"/>
      <c r="M31" s="206">
        <f t="shared" si="20"/>
        <v>0</v>
      </c>
      <c r="N31" s="240"/>
      <c r="O31" s="240"/>
      <c r="P31" s="240">
        <v>28500</v>
      </c>
      <c r="Q31" s="206">
        <f t="shared" si="13"/>
        <v>28500</v>
      </c>
      <c r="R31" s="215">
        <f t="shared" si="14"/>
        <v>0</v>
      </c>
      <c r="S31" s="215">
        <f t="shared" si="15"/>
        <v>0</v>
      </c>
      <c r="T31" s="215">
        <f t="shared" si="16"/>
        <v>0</v>
      </c>
      <c r="U31" s="215">
        <f t="shared" si="17"/>
        <v>28500</v>
      </c>
      <c r="V31" s="216">
        <f>13000+350000</f>
        <v>363000</v>
      </c>
      <c r="X31" s="100">
        <f>-65000-5000</f>
        <v>-70000</v>
      </c>
      <c r="Y31" s="3">
        <f t="shared" si="11"/>
        <v>369018.51000000013</v>
      </c>
      <c r="Z31" s="3"/>
      <c r="AA31" s="426">
        <v>120000</v>
      </c>
    </row>
    <row r="32" spans="1:27" ht="21">
      <c r="A32" s="239" t="s">
        <v>56</v>
      </c>
      <c r="B32" s="231"/>
      <c r="C32" s="203">
        <f>5000+900</f>
        <v>5900</v>
      </c>
      <c r="D32" s="472"/>
      <c r="E32" s="204">
        <f t="shared" si="18"/>
        <v>5900</v>
      </c>
      <c r="F32" s="203"/>
      <c r="G32" s="203"/>
      <c r="H32" s="203"/>
      <c r="I32" s="204">
        <f t="shared" si="19"/>
        <v>0</v>
      </c>
      <c r="J32" s="205"/>
      <c r="K32" s="203"/>
      <c r="L32" s="203"/>
      <c r="M32" s="206">
        <f t="shared" si="20"/>
        <v>0</v>
      </c>
      <c r="N32" s="240"/>
      <c r="O32" s="240"/>
      <c r="P32" s="240"/>
      <c r="Q32" s="206">
        <f t="shared" si="13"/>
        <v>0</v>
      </c>
      <c r="R32" s="215">
        <f t="shared" si="14"/>
        <v>5900</v>
      </c>
      <c r="S32" s="215">
        <f t="shared" si="15"/>
        <v>5900</v>
      </c>
      <c r="T32" s="215">
        <f t="shared" si="16"/>
        <v>5900</v>
      </c>
      <c r="U32" s="215">
        <f t="shared" si="17"/>
        <v>5900</v>
      </c>
      <c r="V32" s="216">
        <v>10000</v>
      </c>
      <c r="X32" s="100">
        <f>-45000-12000</f>
        <v>-57000</v>
      </c>
      <c r="Y32" s="3">
        <f t="shared" si="11"/>
        <v>312018.51000000013</v>
      </c>
      <c r="Z32" s="3"/>
      <c r="AA32" s="426">
        <v>98550</v>
      </c>
    </row>
    <row r="33" spans="1:27" ht="21">
      <c r="A33" s="239" t="s">
        <v>52</v>
      </c>
      <c r="B33" s="231"/>
      <c r="C33" s="203"/>
      <c r="D33" s="472"/>
      <c r="E33" s="204">
        <f t="shared" si="18"/>
        <v>0</v>
      </c>
      <c r="F33" s="203"/>
      <c r="G33" s="203"/>
      <c r="H33" s="203"/>
      <c r="I33" s="204">
        <f t="shared" si="19"/>
        <v>0</v>
      </c>
      <c r="J33" s="205"/>
      <c r="K33" s="203"/>
      <c r="L33" s="203"/>
      <c r="M33" s="206">
        <f t="shared" si="20"/>
        <v>0</v>
      </c>
      <c r="N33" s="240"/>
      <c r="O33" s="240"/>
      <c r="P33" s="240"/>
      <c r="Q33" s="206">
        <f t="shared" si="13"/>
        <v>0</v>
      </c>
      <c r="R33" s="215">
        <f t="shared" si="14"/>
        <v>0</v>
      </c>
      <c r="S33" s="215">
        <f t="shared" si="15"/>
        <v>0</v>
      </c>
      <c r="T33" s="215">
        <f t="shared" si="16"/>
        <v>0</v>
      </c>
      <c r="U33" s="215">
        <f t="shared" si="17"/>
        <v>0</v>
      </c>
      <c r="V33" s="216">
        <v>50000</v>
      </c>
      <c r="X33" s="100">
        <f>-19500-9000</f>
        <v>-28500</v>
      </c>
      <c r="Y33" s="3">
        <f t="shared" si="11"/>
        <v>283518.51000000013</v>
      </c>
      <c r="Z33" s="3"/>
      <c r="AA33" s="426">
        <v>47103.38</v>
      </c>
    </row>
    <row r="34" spans="1:27" ht="21">
      <c r="A34" s="239" t="s">
        <v>145</v>
      </c>
      <c r="B34" s="231"/>
      <c r="C34" s="203"/>
      <c r="D34" s="472"/>
      <c r="E34" s="204">
        <f t="shared" si="18"/>
        <v>0</v>
      </c>
      <c r="F34" s="203"/>
      <c r="G34" s="203"/>
      <c r="H34" s="203"/>
      <c r="I34" s="204">
        <f t="shared" si="19"/>
        <v>0</v>
      </c>
      <c r="J34" s="205"/>
      <c r="K34" s="203"/>
      <c r="L34" s="203"/>
      <c r="M34" s="206">
        <f t="shared" si="20"/>
        <v>0</v>
      </c>
      <c r="N34" s="240"/>
      <c r="O34" s="240"/>
      <c r="P34" s="240">
        <f>100000-6100</f>
        <v>93900</v>
      </c>
      <c r="Q34" s="206">
        <f t="shared" si="13"/>
        <v>93900</v>
      </c>
      <c r="R34" s="215">
        <f t="shared" si="14"/>
        <v>0</v>
      </c>
      <c r="S34" s="215">
        <f t="shared" si="15"/>
        <v>0</v>
      </c>
      <c r="T34" s="215">
        <f t="shared" si="16"/>
        <v>0</v>
      </c>
      <c r="U34" s="215">
        <f t="shared" si="17"/>
        <v>93900</v>
      </c>
      <c r="V34" s="216">
        <v>130000</v>
      </c>
      <c r="X34" s="100">
        <v>-3000</v>
      </c>
      <c r="Y34" s="3">
        <f t="shared" si="11"/>
        <v>280518.51000000013</v>
      </c>
      <c r="Z34" s="3"/>
      <c r="AA34" s="426">
        <v>135189.06</v>
      </c>
    </row>
    <row r="35" spans="1:27" ht="21">
      <c r="A35" s="239" t="s">
        <v>77</v>
      </c>
      <c r="B35" s="231"/>
      <c r="C35" s="203"/>
      <c r="D35" s="472"/>
      <c r="E35" s="204">
        <f t="shared" si="18"/>
        <v>0</v>
      </c>
      <c r="F35" s="203"/>
      <c r="G35" s="203"/>
      <c r="H35" s="203"/>
      <c r="I35" s="204">
        <f t="shared" si="19"/>
        <v>0</v>
      </c>
      <c r="J35" s="205"/>
      <c r="K35" s="203"/>
      <c r="L35" s="203"/>
      <c r="M35" s="206">
        <f t="shared" si="20"/>
        <v>0</v>
      </c>
      <c r="N35" s="240"/>
      <c r="O35" s="240"/>
      <c r="P35" s="240"/>
      <c r="Q35" s="206">
        <f t="shared" si="13"/>
        <v>0</v>
      </c>
      <c r="R35" s="215">
        <f t="shared" si="14"/>
        <v>0</v>
      </c>
      <c r="S35" s="215">
        <f t="shared" si="15"/>
        <v>0</v>
      </c>
      <c r="T35" s="215">
        <f t="shared" si="16"/>
        <v>0</v>
      </c>
      <c r="U35" s="215">
        <f t="shared" si="17"/>
        <v>0</v>
      </c>
      <c r="V35" s="216">
        <v>60000</v>
      </c>
      <c r="X35" s="3">
        <v>-4000</v>
      </c>
      <c r="Y35" s="3">
        <f t="shared" si="11"/>
        <v>276518.51000000013</v>
      </c>
      <c r="Z35" s="3"/>
      <c r="AA35" s="426">
        <v>100000</v>
      </c>
    </row>
    <row r="36" spans="1:27" ht="21">
      <c r="A36" s="239" t="s">
        <v>135</v>
      </c>
      <c r="B36" s="231"/>
      <c r="C36" s="203"/>
      <c r="D36" s="472"/>
      <c r="E36" s="204">
        <f t="shared" si="18"/>
        <v>0</v>
      </c>
      <c r="F36" s="203"/>
      <c r="G36" s="203"/>
      <c r="H36" s="203"/>
      <c r="I36" s="204">
        <f t="shared" si="19"/>
        <v>0</v>
      </c>
      <c r="J36" s="205"/>
      <c r="K36" s="203"/>
      <c r="L36" s="203"/>
      <c r="M36" s="206">
        <f t="shared" si="20"/>
        <v>0</v>
      </c>
      <c r="N36" s="240"/>
      <c r="O36" s="240"/>
      <c r="P36" s="240"/>
      <c r="Q36" s="206">
        <f t="shared" si="13"/>
        <v>0</v>
      </c>
      <c r="R36" s="215">
        <f t="shared" si="14"/>
        <v>0</v>
      </c>
      <c r="S36" s="215">
        <f t="shared" si="15"/>
        <v>0</v>
      </c>
      <c r="T36" s="215">
        <f t="shared" si="16"/>
        <v>0</v>
      </c>
      <c r="U36" s="215">
        <f t="shared" si="17"/>
        <v>0</v>
      </c>
      <c r="V36" s="216">
        <v>100000</v>
      </c>
      <c r="X36" s="3">
        <f>-P88</f>
        <v>-74109.77</v>
      </c>
      <c r="Y36" s="3">
        <f t="shared" si="11"/>
        <v>202408.74000000011</v>
      </c>
      <c r="Z36" s="3"/>
      <c r="AA36" s="426">
        <v>37652</v>
      </c>
    </row>
    <row r="37" spans="1:27" ht="21">
      <c r="A37" s="239" t="s">
        <v>137</v>
      </c>
      <c r="B37" s="231">
        <f>20000+2000</f>
        <v>22000</v>
      </c>
      <c r="C37" s="203">
        <f>11000+2000</f>
        <v>13000</v>
      </c>
      <c r="D37" s="472">
        <v>1000</v>
      </c>
      <c r="E37" s="204">
        <f>SUM(B37:D37)</f>
        <v>36000</v>
      </c>
      <c r="F37" s="203"/>
      <c r="G37" s="203"/>
      <c r="H37" s="203"/>
      <c r="I37" s="204">
        <f>SUM(F37:H37)</f>
        <v>0</v>
      </c>
      <c r="J37" s="205">
        <v>3000</v>
      </c>
      <c r="K37" s="203"/>
      <c r="L37" s="203">
        <v>1000</v>
      </c>
      <c r="M37" s="206">
        <f>SUM(J37:L37)</f>
        <v>4000</v>
      </c>
      <c r="N37" s="240">
        <f>1000+1500</f>
        <v>2500</v>
      </c>
      <c r="O37" s="240"/>
      <c r="P37" s="240">
        <f>3000+1500</f>
        <v>4500</v>
      </c>
      <c r="Q37" s="206">
        <f>SUM(N37:P37)</f>
        <v>7000</v>
      </c>
      <c r="R37" s="215">
        <f>E37</f>
        <v>36000</v>
      </c>
      <c r="S37" s="215">
        <f>E37+I37</f>
        <v>36000</v>
      </c>
      <c r="T37" s="215">
        <f>E37+I37+M37</f>
        <v>40000</v>
      </c>
      <c r="U37" s="215">
        <f>E37+I37+M37+Q37</f>
        <v>47000</v>
      </c>
      <c r="V37" s="216">
        <v>80000</v>
      </c>
      <c r="X37" s="3">
        <f>-P89</f>
        <v>-172923.73</v>
      </c>
      <c r="Y37" s="3">
        <f t="shared" si="11"/>
        <v>29485.010000000097</v>
      </c>
      <c r="Z37" s="3"/>
      <c r="AA37" s="426"/>
    </row>
    <row r="38" spans="1:27" ht="21">
      <c r="A38" s="239" t="s">
        <v>54</v>
      </c>
      <c r="B38" s="231"/>
      <c r="C38" s="203"/>
      <c r="D38" s="472">
        <v>20000</v>
      </c>
      <c r="E38" s="204">
        <f>SUM(B38:D38)</f>
        <v>20000</v>
      </c>
      <c r="F38" s="203"/>
      <c r="G38" s="203"/>
      <c r="H38" s="203"/>
      <c r="I38" s="204">
        <f>SUM(F38:H38)</f>
        <v>0</v>
      </c>
      <c r="J38" s="205"/>
      <c r="K38" s="203"/>
      <c r="L38" s="203"/>
      <c r="M38" s="206">
        <f>SUM(J38:L38)</f>
        <v>0</v>
      </c>
      <c r="N38" s="240"/>
      <c r="O38" s="240"/>
      <c r="P38" s="240"/>
      <c r="Q38" s="206">
        <f>SUM(N38:P38)</f>
        <v>0</v>
      </c>
      <c r="R38" s="215">
        <f>E38</f>
        <v>20000</v>
      </c>
      <c r="S38" s="215">
        <f>E38+I38</f>
        <v>20000</v>
      </c>
      <c r="T38" s="215">
        <f>E38+I38+M38</f>
        <v>20000</v>
      </c>
      <c r="U38" s="215">
        <f>E38+I38+M38+Q38</f>
        <v>20000</v>
      </c>
      <c r="V38" s="216">
        <v>40000</v>
      </c>
      <c r="X38" s="3">
        <f>-P90</f>
        <v>-309551.2</v>
      </c>
      <c r="Y38" s="3">
        <f t="shared" si="11"/>
        <v>-280066.18999999994</v>
      </c>
      <c r="Z38" s="3"/>
      <c r="AA38" s="426">
        <f>SUM(AA26:AA36)</f>
        <v>910994.44</v>
      </c>
    </row>
    <row r="39" spans="1:27" ht="21">
      <c r="A39" s="239" t="s">
        <v>49</v>
      </c>
      <c r="B39" s="231">
        <f>5500+4500</f>
        <v>10000</v>
      </c>
      <c r="C39" s="459">
        <f>-600</f>
        <v>-600</v>
      </c>
      <c r="D39" s="472">
        <v>10000</v>
      </c>
      <c r="E39" s="204">
        <f t="shared" si="18"/>
        <v>19400</v>
      </c>
      <c r="F39" s="203"/>
      <c r="G39" s="203">
        <f>9000+100000</f>
        <v>109000</v>
      </c>
      <c r="H39" s="203">
        <f>7000+10000</f>
        <v>17000</v>
      </c>
      <c r="I39" s="204">
        <f t="shared" si="19"/>
        <v>126000</v>
      </c>
      <c r="J39" s="205">
        <f>20000</f>
        <v>20000</v>
      </c>
      <c r="K39" s="203">
        <f>-6790</f>
        <v>-6790</v>
      </c>
      <c r="L39" s="203">
        <v>-1500</v>
      </c>
      <c r="M39" s="206">
        <f t="shared" si="20"/>
        <v>11710</v>
      </c>
      <c r="N39" s="240"/>
      <c r="O39" s="240"/>
      <c r="P39" s="240"/>
      <c r="Q39" s="206">
        <f t="shared" si="13"/>
        <v>0</v>
      </c>
      <c r="R39" s="215">
        <f t="shared" si="14"/>
        <v>19400</v>
      </c>
      <c r="S39" s="215">
        <f t="shared" si="15"/>
        <v>145400</v>
      </c>
      <c r="T39" s="215">
        <f t="shared" si="16"/>
        <v>157110</v>
      </c>
      <c r="U39" s="215">
        <f t="shared" si="17"/>
        <v>157110</v>
      </c>
      <c r="V39" s="216">
        <v>250000</v>
      </c>
      <c r="X39" s="100">
        <v>-20000</v>
      </c>
      <c r="Y39" s="3">
        <f t="shared" si="11"/>
        <v>-300066.18999999994</v>
      </c>
      <c r="Z39" s="3"/>
      <c r="AA39" s="426">
        <f>X27+X31+X32+X33+X34+X39+X40</f>
        <v>-252500</v>
      </c>
    </row>
    <row r="40" spans="1:27" ht="21">
      <c r="A40" s="239" t="s">
        <v>45</v>
      </c>
      <c r="B40" s="231">
        <f>14700+12500</f>
        <v>27200</v>
      </c>
      <c r="C40" s="203">
        <f>21500+153000+7000</f>
        <v>181500</v>
      </c>
      <c r="D40" s="472"/>
      <c r="E40" s="204">
        <f t="shared" si="18"/>
        <v>208700</v>
      </c>
      <c r="F40" s="203"/>
      <c r="G40" s="203">
        <f>20000</f>
        <v>20000</v>
      </c>
      <c r="H40" s="203"/>
      <c r="I40" s="204">
        <f t="shared" si="19"/>
        <v>20000</v>
      </c>
      <c r="J40" s="205">
        <f>5000</f>
        <v>5000</v>
      </c>
      <c r="K40" s="203"/>
      <c r="L40" s="203"/>
      <c r="M40" s="206">
        <f t="shared" si="20"/>
        <v>5000</v>
      </c>
      <c r="N40" s="240"/>
      <c r="O40" s="240">
        <f>15000+10000+900+3000</f>
        <v>28900</v>
      </c>
      <c r="P40" s="530">
        <v>38000</v>
      </c>
      <c r="Q40" s="206">
        <f t="shared" si="13"/>
        <v>66900</v>
      </c>
      <c r="R40" s="215">
        <f t="shared" si="14"/>
        <v>208700</v>
      </c>
      <c r="S40" s="215">
        <f t="shared" si="15"/>
        <v>228700</v>
      </c>
      <c r="T40" s="215">
        <f t="shared" si="16"/>
        <v>233700</v>
      </c>
      <c r="U40" s="215">
        <f t="shared" si="17"/>
        <v>300600</v>
      </c>
      <c r="V40" s="216">
        <v>400000</v>
      </c>
      <c r="X40" s="100">
        <v>-25000</v>
      </c>
      <c r="Y40" s="3">
        <f t="shared" si="11"/>
        <v>-325066.18999999994</v>
      </c>
      <c r="Z40" s="3"/>
      <c r="AA40" s="426"/>
    </row>
    <row r="41" spans="1:27" ht="21">
      <c r="A41" s="239" t="s">
        <v>89</v>
      </c>
      <c r="B41" s="231"/>
      <c r="C41" s="203"/>
      <c r="D41" s="472"/>
      <c r="E41" s="204">
        <f t="shared" si="18"/>
        <v>0</v>
      </c>
      <c r="F41" s="203"/>
      <c r="G41" s="203"/>
      <c r="H41" s="203"/>
      <c r="I41" s="204">
        <f t="shared" si="19"/>
        <v>0</v>
      </c>
      <c r="J41" s="205"/>
      <c r="K41" s="203"/>
      <c r="L41" s="203"/>
      <c r="M41" s="206">
        <f t="shared" si="20"/>
        <v>0</v>
      </c>
      <c r="N41" s="240">
        <v>4500</v>
      </c>
      <c r="O41" s="240"/>
      <c r="P41" s="530">
        <v>2000</v>
      </c>
      <c r="Q41" s="206">
        <f t="shared" si="13"/>
        <v>6500</v>
      </c>
      <c r="R41" s="215">
        <f t="shared" si="14"/>
        <v>0</v>
      </c>
      <c r="S41" s="215">
        <f t="shared" si="15"/>
        <v>0</v>
      </c>
      <c r="T41" s="215">
        <f t="shared" si="16"/>
        <v>0</v>
      </c>
      <c r="U41" s="215">
        <f t="shared" si="17"/>
        <v>6500</v>
      </c>
      <c r="V41" s="216">
        <v>160000</v>
      </c>
      <c r="X41" s="3"/>
      <c r="Y41" s="3"/>
    </row>
    <row r="42" spans="1:27" ht="21">
      <c r="A42" s="239" t="s">
        <v>55</v>
      </c>
      <c r="B42" s="231"/>
      <c r="C42" s="203"/>
      <c r="D42" s="472"/>
      <c r="E42" s="204">
        <f t="shared" si="18"/>
        <v>0</v>
      </c>
      <c r="F42" s="203"/>
      <c r="G42" s="203">
        <v>2000</v>
      </c>
      <c r="H42" s="203"/>
      <c r="I42" s="241">
        <f t="shared" si="19"/>
        <v>2000</v>
      </c>
      <c r="J42" s="205"/>
      <c r="K42" s="203">
        <f>7000+12000</f>
        <v>19000</v>
      </c>
      <c r="L42" s="203"/>
      <c r="M42" s="206">
        <f t="shared" si="20"/>
        <v>19000</v>
      </c>
      <c r="N42" s="240"/>
      <c r="O42" s="240">
        <v>-100</v>
      </c>
      <c r="P42" s="530">
        <v>10000</v>
      </c>
      <c r="Q42" s="206">
        <f t="shared" si="13"/>
        <v>9900</v>
      </c>
      <c r="R42" s="215">
        <f t="shared" si="14"/>
        <v>0</v>
      </c>
      <c r="S42" s="215">
        <f t="shared" si="15"/>
        <v>2000</v>
      </c>
      <c r="T42" s="215">
        <f t="shared" si="16"/>
        <v>21000</v>
      </c>
      <c r="U42" s="215">
        <f t="shared" si="17"/>
        <v>30900</v>
      </c>
      <c r="V42" s="216">
        <v>650000</v>
      </c>
    </row>
    <row r="43" spans="1:27" ht="21">
      <c r="A43" s="239" t="s">
        <v>134</v>
      </c>
      <c r="B43" s="231"/>
      <c r="C43" s="203"/>
      <c r="D43" s="472"/>
      <c r="E43" s="204">
        <f t="shared" si="18"/>
        <v>0</v>
      </c>
      <c r="F43" s="203"/>
      <c r="G43" s="203"/>
      <c r="H43" s="203"/>
      <c r="I43" s="204">
        <f t="shared" si="19"/>
        <v>0</v>
      </c>
      <c r="J43" s="205"/>
      <c r="K43" s="203"/>
      <c r="L43" s="203"/>
      <c r="M43" s="206">
        <f t="shared" si="20"/>
        <v>0</v>
      </c>
      <c r="N43" s="240"/>
      <c r="O43" s="240"/>
      <c r="P43" s="240"/>
      <c r="Q43" s="206">
        <f>SUM(N43:P43)</f>
        <v>0</v>
      </c>
      <c r="R43" s="215">
        <f t="shared" si="14"/>
        <v>0</v>
      </c>
      <c r="S43" s="215">
        <f t="shared" si="15"/>
        <v>0</v>
      </c>
      <c r="T43" s="215">
        <f t="shared" si="16"/>
        <v>0</v>
      </c>
      <c r="U43" s="215">
        <f t="shared" si="17"/>
        <v>0</v>
      </c>
      <c r="V43" s="216"/>
    </row>
    <row r="44" spans="1:27" ht="21">
      <c r="A44" s="242" t="s">
        <v>44</v>
      </c>
      <c r="B44" s="243">
        <f>3000</f>
        <v>3000</v>
      </c>
      <c r="C44" s="203">
        <f>8000+1920+80000</f>
        <v>89920</v>
      </c>
      <c r="D44" s="472"/>
      <c r="E44" s="204">
        <f>SUM(B44:D44)</f>
        <v>92920</v>
      </c>
      <c r="F44" s="203">
        <f>-30000+30000</f>
        <v>0</v>
      </c>
      <c r="G44" s="203">
        <f>6000+1000</f>
        <v>7000</v>
      </c>
      <c r="H44" s="203"/>
      <c r="I44" s="204">
        <f>SUM(F44:H44)</f>
        <v>7000</v>
      </c>
      <c r="J44" s="205">
        <f>20000+900</f>
        <v>20900</v>
      </c>
      <c r="K44" s="203">
        <f>2000-600</f>
        <v>1400</v>
      </c>
      <c r="L44" s="203">
        <f>40000+16000</f>
        <v>56000</v>
      </c>
      <c r="M44" s="206">
        <f>SUM(J44:L44)</f>
        <v>78300</v>
      </c>
      <c r="N44" s="240">
        <v>15000</v>
      </c>
      <c r="O44" s="522"/>
      <c r="P44" s="240">
        <v>12000</v>
      </c>
      <c r="Q44" s="206">
        <f>SUM(N44:P44)</f>
        <v>27000</v>
      </c>
      <c r="R44" s="215">
        <f>E44</f>
        <v>92920</v>
      </c>
      <c r="S44" s="215">
        <f>E44+I44</f>
        <v>99920</v>
      </c>
      <c r="T44" s="215">
        <f>E44+I44+M44</f>
        <v>178220</v>
      </c>
      <c r="U44" s="215">
        <f>E44+I44+M44+Q44</f>
        <v>205220</v>
      </c>
      <c r="V44" s="216">
        <v>200000</v>
      </c>
    </row>
    <row r="45" spans="1:27" ht="21">
      <c r="A45" s="239" t="s">
        <v>136</v>
      </c>
      <c r="B45" s="231"/>
      <c r="C45" s="203"/>
      <c r="D45" s="472"/>
      <c r="E45" s="204">
        <f t="shared" si="18"/>
        <v>0</v>
      </c>
      <c r="F45" s="203"/>
      <c r="G45" s="203"/>
      <c r="H45" s="203"/>
      <c r="I45" s="204">
        <f t="shared" si="19"/>
        <v>0</v>
      </c>
      <c r="J45" s="205"/>
      <c r="K45" s="203"/>
      <c r="L45" s="203"/>
      <c r="M45" s="206">
        <f t="shared" si="20"/>
        <v>0</v>
      </c>
      <c r="N45" s="240"/>
      <c r="O45" s="240"/>
      <c r="P45" s="240"/>
      <c r="Q45" s="206">
        <f t="shared" si="13"/>
        <v>0</v>
      </c>
      <c r="R45" s="215">
        <f t="shared" si="14"/>
        <v>0</v>
      </c>
      <c r="S45" s="215">
        <f t="shared" si="15"/>
        <v>0</v>
      </c>
      <c r="T45" s="215">
        <f t="shared" si="16"/>
        <v>0</v>
      </c>
      <c r="U45" s="215">
        <f t="shared" si="17"/>
        <v>0</v>
      </c>
      <c r="V45" s="216">
        <v>0</v>
      </c>
    </row>
    <row r="46" spans="1:27" ht="21">
      <c r="A46" s="239" t="s">
        <v>5</v>
      </c>
      <c r="B46" s="231">
        <v>3400</v>
      </c>
      <c r="C46" s="203">
        <f>5000-900+124100</f>
        <v>128200</v>
      </c>
      <c r="D46" s="472">
        <v>45000</v>
      </c>
      <c r="E46" s="204">
        <f t="shared" si="18"/>
        <v>176600</v>
      </c>
      <c r="F46" s="203"/>
      <c r="G46" s="203"/>
      <c r="H46" s="203">
        <v>1500</v>
      </c>
      <c r="I46" s="241">
        <f t="shared" si="19"/>
        <v>1500</v>
      </c>
      <c r="J46" s="205">
        <v>700</v>
      </c>
      <c r="K46" s="203">
        <f>2700+3000</f>
        <v>5700</v>
      </c>
      <c r="L46" s="203">
        <f>2200</f>
        <v>2200</v>
      </c>
      <c r="M46" s="206">
        <f t="shared" si="20"/>
        <v>8600</v>
      </c>
      <c r="N46" s="240">
        <f>4200+5800+50000</f>
        <v>60000</v>
      </c>
      <c r="O46" s="240">
        <f>19000+4100-15000-10000-900-3000+2000</f>
        <v>-3800</v>
      </c>
      <c r="P46" s="530">
        <f>1500+6000+20000+4200+2000+9600+27000+14000+8000-1100</f>
        <v>91200</v>
      </c>
      <c r="Q46" s="206">
        <f t="shared" si="13"/>
        <v>147400</v>
      </c>
      <c r="R46" s="215">
        <f t="shared" si="14"/>
        <v>176600</v>
      </c>
      <c r="S46" s="215">
        <f t="shared" si="15"/>
        <v>178100</v>
      </c>
      <c r="T46" s="215">
        <f t="shared" si="16"/>
        <v>186700</v>
      </c>
      <c r="U46" s="215">
        <f t="shared" si="17"/>
        <v>334100</v>
      </c>
      <c r="V46" s="216">
        <v>50000</v>
      </c>
    </row>
    <row r="47" spans="1:27" ht="21">
      <c r="A47" s="239" t="s">
        <v>138</v>
      </c>
      <c r="B47" s="231"/>
      <c r="C47" s="203"/>
      <c r="D47" s="472"/>
      <c r="E47" s="204">
        <f>SUM(B47:D47)</f>
        <v>0</v>
      </c>
      <c r="F47" s="203"/>
      <c r="G47" s="203"/>
      <c r="H47" s="203"/>
      <c r="I47" s="241">
        <f>SUM(F47:H47)</f>
        <v>0</v>
      </c>
      <c r="J47" s="205"/>
      <c r="K47" s="203"/>
      <c r="L47" s="203"/>
      <c r="M47" s="206">
        <f>SUM(J47:L47)</f>
        <v>0</v>
      </c>
      <c r="N47" s="240"/>
      <c r="O47" s="240"/>
      <c r="P47" s="240"/>
      <c r="Q47" s="206">
        <f>SUM(N47:P47)</f>
        <v>0</v>
      </c>
      <c r="R47" s="215">
        <f>E47</f>
        <v>0</v>
      </c>
      <c r="S47" s="215">
        <f>E47+I47</f>
        <v>0</v>
      </c>
      <c r="T47" s="215">
        <f>E47+I47+M47</f>
        <v>0</v>
      </c>
      <c r="U47" s="215">
        <f>E47+I47+M47+Q47</f>
        <v>0</v>
      </c>
      <c r="V47" s="216">
        <v>24000</v>
      </c>
    </row>
    <row r="48" spans="1:27" ht="21">
      <c r="A48" s="239" t="s">
        <v>38</v>
      </c>
      <c r="B48" s="231"/>
      <c r="C48" s="203"/>
      <c r="D48" s="472">
        <v>20000</v>
      </c>
      <c r="E48" s="204">
        <f t="shared" si="18"/>
        <v>20000</v>
      </c>
      <c r="F48" s="203"/>
      <c r="G48" s="203"/>
      <c r="H48" s="203"/>
      <c r="I48" s="204">
        <f t="shared" si="19"/>
        <v>0</v>
      </c>
      <c r="J48" s="205"/>
      <c r="K48" s="203">
        <f>-700</f>
        <v>-700</v>
      </c>
      <c r="L48" s="203"/>
      <c r="M48" s="206">
        <f t="shared" si="20"/>
        <v>-700</v>
      </c>
      <c r="N48" s="240"/>
      <c r="O48" s="240">
        <v>22800</v>
      </c>
      <c r="P48" s="530">
        <v>15000</v>
      </c>
      <c r="Q48" s="206">
        <f t="shared" si="13"/>
        <v>37800</v>
      </c>
      <c r="R48" s="215">
        <f t="shared" si="14"/>
        <v>20000</v>
      </c>
      <c r="S48" s="215">
        <f t="shared" si="15"/>
        <v>20000</v>
      </c>
      <c r="T48" s="215">
        <f t="shared" si="16"/>
        <v>19300</v>
      </c>
      <c r="U48" s="215">
        <f t="shared" si="17"/>
        <v>57100</v>
      </c>
      <c r="V48" s="216">
        <v>80000</v>
      </c>
    </row>
    <row r="49" spans="1:22" ht="21">
      <c r="A49" s="239" t="s">
        <v>53</v>
      </c>
      <c r="B49" s="231"/>
      <c r="C49" s="203"/>
      <c r="D49" s="472"/>
      <c r="E49" s="204">
        <f>SUM(B49:D49)</f>
        <v>0</v>
      </c>
      <c r="F49" s="203"/>
      <c r="G49" s="203"/>
      <c r="H49" s="203"/>
      <c r="I49" s="204">
        <f>SUM(F49:H49)</f>
        <v>0</v>
      </c>
      <c r="J49" s="205"/>
      <c r="K49" s="203"/>
      <c r="L49" s="203"/>
      <c r="M49" s="206">
        <f>SUM(J49:L49)</f>
        <v>0</v>
      </c>
      <c r="N49" s="240"/>
      <c r="O49" s="240"/>
      <c r="P49" s="240"/>
      <c r="Q49" s="206">
        <f>SUM(N49:P49)</f>
        <v>0</v>
      </c>
      <c r="R49" s="215">
        <f>E49</f>
        <v>0</v>
      </c>
      <c r="S49" s="215">
        <f>E49+I49</f>
        <v>0</v>
      </c>
      <c r="T49" s="215">
        <f>E49+I49+M49</f>
        <v>0</v>
      </c>
      <c r="U49" s="215">
        <f>E49+I49+M49+Q49</f>
        <v>0</v>
      </c>
      <c r="V49" s="216">
        <v>20000</v>
      </c>
    </row>
    <row r="50" spans="1:22" ht="21">
      <c r="A50" s="242" t="s">
        <v>47</v>
      </c>
      <c r="B50" s="243"/>
      <c r="C50" s="203"/>
      <c r="D50" s="472"/>
      <c r="E50" s="204">
        <f>SUM(B50:D50)</f>
        <v>0</v>
      </c>
      <c r="F50" s="203"/>
      <c r="G50" s="203"/>
      <c r="H50" s="203"/>
      <c r="I50" s="204">
        <f>SUM(F50:H50)</f>
        <v>0</v>
      </c>
      <c r="J50" s="205">
        <v>4000</v>
      </c>
      <c r="K50" s="203"/>
      <c r="L50" s="203">
        <v>5000</v>
      </c>
      <c r="M50" s="206">
        <f>SUM(J50:L50)</f>
        <v>9000</v>
      </c>
      <c r="N50" s="240"/>
      <c r="O50" s="240"/>
      <c r="P50" s="240">
        <v>1000</v>
      </c>
      <c r="Q50" s="206">
        <f>SUM(N50:P50)</f>
        <v>1000</v>
      </c>
      <c r="R50" s="215">
        <f>E50</f>
        <v>0</v>
      </c>
      <c r="S50" s="215">
        <f>E50+I50</f>
        <v>0</v>
      </c>
      <c r="T50" s="215">
        <f>E50+I50+M50</f>
        <v>9000</v>
      </c>
      <c r="U50" s="215">
        <f>E50+I50+M50+Q50</f>
        <v>10000</v>
      </c>
      <c r="V50" s="216">
        <v>50000</v>
      </c>
    </row>
    <row r="51" spans="1:22" ht="21">
      <c r="A51" s="239" t="s">
        <v>48</v>
      </c>
      <c r="B51" s="231">
        <f>4200</f>
        <v>4200</v>
      </c>
      <c r="C51" s="203"/>
      <c r="D51" s="472">
        <v>15000</v>
      </c>
      <c r="E51" s="204">
        <f>SUM(B51:D51)</f>
        <v>19200</v>
      </c>
      <c r="F51" s="203"/>
      <c r="G51" s="203"/>
      <c r="H51" s="203"/>
      <c r="I51" s="204">
        <f>SUM(F51:H51)</f>
        <v>0</v>
      </c>
      <c r="J51" s="205"/>
      <c r="K51" s="203">
        <f>7000</f>
        <v>7000</v>
      </c>
      <c r="L51" s="203">
        <f>10000-15000</f>
        <v>-5000</v>
      </c>
      <c r="M51" s="206">
        <f>SUM(J51:L51)</f>
        <v>2000</v>
      </c>
      <c r="N51" s="240"/>
      <c r="O51" s="240">
        <v>15000</v>
      </c>
      <c r="P51" s="240"/>
      <c r="Q51" s="206">
        <f>SUM(N51:P51)</f>
        <v>15000</v>
      </c>
      <c r="R51" s="215">
        <f>E51</f>
        <v>19200</v>
      </c>
      <c r="S51" s="215">
        <f>E51+I51</f>
        <v>19200</v>
      </c>
      <c r="T51" s="215">
        <f>E51+I51+M51</f>
        <v>21200</v>
      </c>
      <c r="U51" s="215">
        <f>E51+I51+M51+Q51</f>
        <v>36200</v>
      </c>
      <c r="V51" s="216">
        <v>50000</v>
      </c>
    </row>
    <row r="52" spans="1:22" ht="21">
      <c r="A52" s="239" t="s">
        <v>51</v>
      </c>
      <c r="B52" s="231"/>
      <c r="C52" s="203"/>
      <c r="D52" s="472">
        <v>5000</v>
      </c>
      <c r="E52" s="204">
        <f>SUM(B52:D52)</f>
        <v>5000</v>
      </c>
      <c r="F52" s="203"/>
      <c r="G52" s="203"/>
      <c r="H52" s="203"/>
      <c r="I52" s="204">
        <f>SUM(F52:H52)</f>
        <v>0</v>
      </c>
      <c r="J52" s="205"/>
      <c r="K52" s="203"/>
      <c r="L52" s="203">
        <f>10000</f>
        <v>10000</v>
      </c>
      <c r="M52" s="206">
        <f>SUM(J52:L52)</f>
        <v>10000</v>
      </c>
      <c r="N52" s="240"/>
      <c r="O52" s="240"/>
      <c r="P52" s="240"/>
      <c r="Q52" s="206">
        <f>SUM(N52:P52)</f>
        <v>0</v>
      </c>
      <c r="R52" s="215">
        <f>E52</f>
        <v>5000</v>
      </c>
      <c r="S52" s="215">
        <f>E52+I52</f>
        <v>5000</v>
      </c>
      <c r="T52" s="215">
        <f>E52+I52+M52</f>
        <v>15000</v>
      </c>
      <c r="U52" s="215">
        <f>E52+I52+M52+Q52</f>
        <v>15000</v>
      </c>
      <c r="V52" s="216">
        <v>100000</v>
      </c>
    </row>
    <row r="53" spans="1:22" ht="21">
      <c r="A53" s="239" t="s">
        <v>165</v>
      </c>
      <c r="B53" s="231"/>
      <c r="C53" s="231">
        <v>20000</v>
      </c>
      <c r="D53" s="472"/>
      <c r="E53" s="204">
        <f>SUM(B53:D53)</f>
        <v>20000</v>
      </c>
      <c r="F53" s="203"/>
      <c r="G53" s="203"/>
      <c r="H53" s="203"/>
      <c r="I53" s="204">
        <f>SUM(F53:H53)</f>
        <v>0</v>
      </c>
      <c r="J53" s="205"/>
      <c r="K53" s="203">
        <f>40000</f>
        <v>40000</v>
      </c>
      <c r="L53" s="203"/>
      <c r="M53" s="206">
        <f>SUM(J53:L53)</f>
        <v>40000</v>
      </c>
      <c r="N53" s="240"/>
      <c r="O53" s="240"/>
      <c r="P53" s="240"/>
      <c r="Q53" s="206">
        <f>SUM(N53:P53)</f>
        <v>0</v>
      </c>
      <c r="R53" s="215">
        <f>E53</f>
        <v>20000</v>
      </c>
      <c r="S53" s="215">
        <f>E53+I53</f>
        <v>20000</v>
      </c>
      <c r="T53" s="215">
        <f>E53+I53+M53</f>
        <v>60000</v>
      </c>
      <c r="U53" s="215">
        <f>E53+I53+M53+Q53</f>
        <v>60000</v>
      </c>
      <c r="V53" s="216">
        <v>130000</v>
      </c>
    </row>
    <row r="54" spans="1:22" ht="21">
      <c r="A54" s="239"/>
      <c r="B54" s="231"/>
      <c r="C54" s="203"/>
      <c r="D54" s="472"/>
      <c r="E54" s="204"/>
      <c r="F54" s="203"/>
      <c r="G54" s="203"/>
      <c r="H54" s="203"/>
      <c r="I54" s="204"/>
      <c r="J54" s="205"/>
      <c r="K54" s="203"/>
      <c r="L54" s="203"/>
      <c r="M54" s="206"/>
      <c r="N54" s="240"/>
      <c r="O54" s="240"/>
      <c r="P54" s="240"/>
      <c r="Q54" s="206"/>
      <c r="R54" s="215"/>
      <c r="S54" s="215"/>
      <c r="T54" s="215"/>
      <c r="U54" s="215"/>
      <c r="V54" s="216"/>
    </row>
    <row r="55" spans="1:22" ht="21">
      <c r="A55" s="239"/>
      <c r="B55" s="231"/>
      <c r="C55" s="203"/>
      <c r="D55" s="472"/>
      <c r="E55" s="204"/>
      <c r="F55" s="203"/>
      <c r="G55" s="203"/>
      <c r="H55" s="203"/>
      <c r="I55" s="204"/>
      <c r="J55" s="205"/>
      <c r="K55" s="203"/>
      <c r="L55" s="203"/>
      <c r="M55" s="206"/>
      <c r="N55" s="240"/>
      <c r="O55" s="240"/>
      <c r="P55" s="240"/>
      <c r="Q55" s="206"/>
      <c r="R55" s="215"/>
      <c r="S55" s="215"/>
      <c r="T55" s="215"/>
      <c r="U55" s="215"/>
      <c r="V55" s="216"/>
    </row>
    <row r="56" spans="1:22" ht="21">
      <c r="A56" s="237" t="s">
        <v>57</v>
      </c>
      <c r="B56" s="244">
        <f>SUM(B57:B59)</f>
        <v>164819.34</v>
      </c>
      <c r="C56" s="204">
        <f>SUM(C57:C60)</f>
        <v>224819.34</v>
      </c>
      <c r="D56" s="480">
        <f>SUM(D57:D60)</f>
        <v>504819.33999999997</v>
      </c>
      <c r="E56" s="204">
        <f>SUM(E57:E60)</f>
        <v>894458.02</v>
      </c>
      <c r="F56" s="204">
        <f>SUM(F57:F59)</f>
        <v>109819.53</v>
      </c>
      <c r="G56" s="204">
        <f t="shared" ref="G56:U56" si="21">SUM(G57:G60)</f>
        <v>195123.44</v>
      </c>
      <c r="H56" s="204">
        <f t="shared" si="21"/>
        <v>157471.34</v>
      </c>
      <c r="I56" s="204">
        <f t="shared" si="21"/>
        <v>462414.31</v>
      </c>
      <c r="J56" s="206">
        <f t="shared" si="21"/>
        <v>217270.03999999998</v>
      </c>
      <c r="K56" s="204">
        <f t="shared" si="21"/>
        <v>261338.43</v>
      </c>
      <c r="L56" s="203">
        <f t="shared" si="21"/>
        <v>127146.43</v>
      </c>
      <c r="M56" s="206">
        <f t="shared" si="21"/>
        <v>605754.9</v>
      </c>
      <c r="N56" s="204">
        <f t="shared" si="21"/>
        <v>203734.93</v>
      </c>
      <c r="O56" s="204">
        <f t="shared" si="21"/>
        <v>183698.33000000002</v>
      </c>
      <c r="P56" s="204">
        <f t="shared" si="21"/>
        <v>284434.14</v>
      </c>
      <c r="Q56" s="206">
        <f t="shared" si="21"/>
        <v>671867.4</v>
      </c>
      <c r="R56" s="215">
        <f t="shared" si="21"/>
        <v>894458.02</v>
      </c>
      <c r="S56" s="215">
        <f t="shared" si="21"/>
        <v>1356872.33</v>
      </c>
      <c r="T56" s="215">
        <f t="shared" si="21"/>
        <v>1962627.23</v>
      </c>
      <c r="U56" s="215">
        <f t="shared" si="21"/>
        <v>2634494.63</v>
      </c>
      <c r="V56" s="220">
        <f>SUM(V57:V59)</f>
        <v>2059062</v>
      </c>
    </row>
    <row r="57" spans="1:22" ht="21">
      <c r="A57" s="239" t="s">
        <v>58</v>
      </c>
      <c r="B57" s="243">
        <f>67594.53</f>
        <v>67594.53</v>
      </c>
      <c r="C57" s="203">
        <f>67594.53</f>
        <v>67594.53</v>
      </c>
      <c r="D57" s="472">
        <f>67594.53</f>
        <v>67594.53</v>
      </c>
      <c r="E57" s="204">
        <f t="shared" ref="E57:E90" si="22">SUM(B57:D57)</f>
        <v>202783.59</v>
      </c>
      <c r="F57" s="203">
        <f>67594.53</f>
        <v>67594.53</v>
      </c>
      <c r="G57" s="203">
        <f>(37652*2)+67594.63</f>
        <v>142898.63</v>
      </c>
      <c r="H57" s="203">
        <f>67594.53+37652</f>
        <v>105246.53</v>
      </c>
      <c r="I57" s="204">
        <f t="shared" ref="I57:I90" si="23">SUM(F57:H57)</f>
        <v>315739.69</v>
      </c>
      <c r="J57" s="205">
        <f>90450.7+67594.53</f>
        <v>158045.22999999998</v>
      </c>
      <c r="K57" s="203">
        <f>100000+67594.53+37642</f>
        <v>205236.53</v>
      </c>
      <c r="L57" s="203">
        <v>67594.53</v>
      </c>
      <c r="M57" s="206">
        <f t="shared" ref="M57:M90" si="24">SUM(J57:L57)</f>
        <v>430876.29000000004</v>
      </c>
      <c r="N57" s="240">
        <f>67594.53+37642</f>
        <v>105236.53</v>
      </c>
      <c r="O57" s="240">
        <f>67594.53</f>
        <v>67594.53</v>
      </c>
      <c r="P57" s="240">
        <f>135189.06+37642</f>
        <v>172831.06</v>
      </c>
      <c r="Q57" s="206">
        <f t="shared" ref="Q57:Q90" si="25">SUM(N57:P57)</f>
        <v>345662.12</v>
      </c>
      <c r="R57" s="215">
        <f t="shared" si="14"/>
        <v>202783.59</v>
      </c>
      <c r="S57" s="215">
        <f t="shared" si="15"/>
        <v>518523.28</v>
      </c>
      <c r="T57" s="215">
        <f t="shared" si="16"/>
        <v>949399.57000000007</v>
      </c>
      <c r="U57" s="215">
        <f t="shared" si="17"/>
        <v>1295061.69</v>
      </c>
      <c r="V57" s="216">
        <v>1225092</v>
      </c>
    </row>
    <row r="58" spans="1:22" ht="21">
      <c r="A58" s="239" t="s">
        <v>59</v>
      </c>
      <c r="B58" s="231">
        <f>(7000*6)+2000</f>
        <v>44000</v>
      </c>
      <c r="C58" s="231">
        <f>(7000*6)+2000</f>
        <v>44000</v>
      </c>
      <c r="D58" s="472">
        <f>15000+7000+2000</f>
        <v>24000</v>
      </c>
      <c r="E58" s="204">
        <f t="shared" si="22"/>
        <v>112000</v>
      </c>
      <c r="F58" s="203">
        <f>20000+2000+7000</f>
        <v>29000</v>
      </c>
      <c r="G58" s="203">
        <f>20000+7000+2000</f>
        <v>29000</v>
      </c>
      <c r="H58" s="203">
        <f>7000+2000+20000</f>
        <v>29000</v>
      </c>
      <c r="I58" s="204">
        <f t="shared" si="23"/>
        <v>87000</v>
      </c>
      <c r="J58" s="205">
        <f>2000+7000+7000+20000</f>
        <v>36000</v>
      </c>
      <c r="K58" s="203">
        <f>7000+7000+2000+20000</f>
        <v>36000</v>
      </c>
      <c r="L58" s="203">
        <f>7000+7000+2000+20000</f>
        <v>36000</v>
      </c>
      <c r="M58" s="206">
        <f t="shared" si="24"/>
        <v>108000</v>
      </c>
      <c r="N58" s="240">
        <f>26000+28000+20000+7500+7000</f>
        <v>88500</v>
      </c>
      <c r="O58" s="240">
        <f>20000+15000+7000+7000+7000+7000+4000+2000</f>
        <v>69000</v>
      </c>
      <c r="P58" s="240">
        <f>25000+20000+15000+7000-2500</f>
        <v>64500</v>
      </c>
      <c r="Q58" s="206">
        <f t="shared" si="25"/>
        <v>222000</v>
      </c>
      <c r="R58" s="215">
        <f t="shared" si="14"/>
        <v>112000</v>
      </c>
      <c r="S58" s="215">
        <f t="shared" si="15"/>
        <v>199000</v>
      </c>
      <c r="T58" s="215">
        <f t="shared" si="16"/>
        <v>307000</v>
      </c>
      <c r="U58" s="215">
        <f t="shared" si="17"/>
        <v>529000</v>
      </c>
      <c r="V58" s="216">
        <f>528000+24000</f>
        <v>552000</v>
      </c>
    </row>
    <row r="59" spans="1:22" ht="21">
      <c r="A59" s="239" t="s">
        <v>139</v>
      </c>
      <c r="B59" s="231">
        <f>23224.81+40000-10000</f>
        <v>53224.81</v>
      </c>
      <c r="C59" s="203">
        <f>23224.81-10000</f>
        <v>13224.810000000001</v>
      </c>
      <c r="D59" s="472">
        <f>23224.81-10000</f>
        <v>13224.810000000001</v>
      </c>
      <c r="E59" s="204">
        <f t="shared" si="22"/>
        <v>79674.429999999993</v>
      </c>
      <c r="F59" s="203">
        <f>23225-10000</f>
        <v>13225</v>
      </c>
      <c r="G59" s="203">
        <v>23224.81</v>
      </c>
      <c r="H59" s="203">
        <v>23224.81</v>
      </c>
      <c r="I59" s="204">
        <f t="shared" si="23"/>
        <v>59674.619999999995</v>
      </c>
      <c r="J59" s="503">
        <v>23224.81</v>
      </c>
      <c r="K59" s="203">
        <v>23551.9</v>
      </c>
      <c r="L59" s="203">
        <v>23551.9</v>
      </c>
      <c r="M59" s="206">
        <f t="shared" si="24"/>
        <v>70328.610000000015</v>
      </c>
      <c r="N59" s="240">
        <f>9998.4</f>
        <v>9998.4</v>
      </c>
      <c r="O59" s="240">
        <f>23551.9+23551.9</f>
        <v>47103.8</v>
      </c>
      <c r="P59" s="240">
        <v>47103.08</v>
      </c>
      <c r="Q59" s="206">
        <f t="shared" si="25"/>
        <v>104205.28</v>
      </c>
      <c r="R59" s="215">
        <f t="shared" si="14"/>
        <v>79674.429999999993</v>
      </c>
      <c r="S59" s="215">
        <f t="shared" si="15"/>
        <v>139349.04999999999</v>
      </c>
      <c r="T59" s="215">
        <f t="shared" si="16"/>
        <v>209677.66</v>
      </c>
      <c r="U59" s="215">
        <f t="shared" si="17"/>
        <v>313882.94</v>
      </c>
      <c r="V59" s="216">
        <v>281970</v>
      </c>
    </row>
    <row r="60" spans="1:22" ht="21">
      <c r="A60" s="239" t="s">
        <v>167</v>
      </c>
      <c r="B60" s="231"/>
      <c r="C60" s="203">
        <v>100000</v>
      </c>
      <c r="D60" s="472">
        <v>400000</v>
      </c>
      <c r="E60" s="204">
        <f>SUM(B60:D60)</f>
        <v>500000</v>
      </c>
      <c r="F60" s="203"/>
      <c r="G60" s="203"/>
      <c r="H60" s="203"/>
      <c r="I60" s="204">
        <f>SUM(F60:H60)</f>
        <v>0</v>
      </c>
      <c r="J60" s="205"/>
      <c r="K60" s="203">
        <f>-3450</f>
        <v>-3450</v>
      </c>
      <c r="L60" s="203"/>
      <c r="M60" s="206">
        <f>SUM(J60:L60)</f>
        <v>-3450</v>
      </c>
      <c r="N60" s="240"/>
      <c r="O60" s="240"/>
      <c r="P60" s="240"/>
      <c r="Q60" s="206">
        <f>SUM(N60:P60)</f>
        <v>0</v>
      </c>
      <c r="R60" s="215">
        <f>E60</f>
        <v>500000</v>
      </c>
      <c r="S60" s="215">
        <f>E60+I60</f>
        <v>500000</v>
      </c>
      <c r="T60" s="215">
        <f>E60+I60+M60</f>
        <v>496550</v>
      </c>
      <c r="U60" s="215">
        <f>E60+I60+M60+Q60</f>
        <v>496550</v>
      </c>
      <c r="V60" s="216">
        <v>400000</v>
      </c>
    </row>
    <row r="61" spans="1:22" ht="21">
      <c r="A61" s="237" t="s">
        <v>60</v>
      </c>
      <c r="B61" s="244">
        <f>SUM(B62:B77)</f>
        <v>81345.72</v>
      </c>
      <c r="C61" s="204">
        <f>SUM(C62:C77)</f>
        <v>44694.8</v>
      </c>
      <c r="D61" s="480">
        <f>SUM(D62:D78)</f>
        <v>39497.380000000005</v>
      </c>
      <c r="E61" s="204">
        <f>SUM(E62:E78)</f>
        <v>165537.9</v>
      </c>
      <c r="F61" s="204">
        <f>SUM(F62:F77)</f>
        <v>6782.39</v>
      </c>
      <c r="G61" s="204">
        <f>SUM(G62:G77)</f>
        <v>36492.06</v>
      </c>
      <c r="H61" s="204">
        <f>SUM(H62:H77)</f>
        <v>161898.19</v>
      </c>
      <c r="I61" s="204">
        <f>SUM(I62:I77)</f>
        <v>205172.64</v>
      </c>
      <c r="J61" s="206">
        <f>SUM(J62:J78)</f>
        <v>52734.91</v>
      </c>
      <c r="K61" s="204">
        <f>SUM(K62:K77)</f>
        <v>95542.5</v>
      </c>
      <c r="L61" s="203">
        <f t="shared" ref="L61:Q61" si="26">SUM(L62:L78)</f>
        <v>70279.239999999991</v>
      </c>
      <c r="M61" s="206">
        <f t="shared" si="26"/>
        <v>218556.65</v>
      </c>
      <c r="N61" s="204">
        <f t="shared" si="26"/>
        <v>148758.84</v>
      </c>
      <c r="O61" s="204">
        <f t="shared" si="26"/>
        <v>81385.739999999991</v>
      </c>
      <c r="P61" s="204">
        <f t="shared" si="26"/>
        <v>111637.32</v>
      </c>
      <c r="Q61" s="206">
        <f t="shared" si="26"/>
        <v>341781.9</v>
      </c>
      <c r="R61" s="215">
        <f>E61</f>
        <v>165537.9</v>
      </c>
      <c r="S61" s="215">
        <f>E61+I61</f>
        <v>370710.54000000004</v>
      </c>
      <c r="T61" s="215">
        <f>E61+I61+M61</f>
        <v>589267.19000000006</v>
      </c>
      <c r="U61" s="215">
        <f>E61+I61+M61+Q61</f>
        <v>931049.09000000008</v>
      </c>
      <c r="V61" s="220">
        <f>SUM(V62:V78)</f>
        <v>1284000</v>
      </c>
    </row>
    <row r="62" spans="1:22" ht="21">
      <c r="A62" s="239" t="s">
        <v>78</v>
      </c>
      <c r="B62" s="231">
        <f>45+100+50+50+50+50+50+100+50+50+104+200+100+50+603.54+30.18+150+150+60+3</f>
        <v>2045.72</v>
      </c>
      <c r="C62" s="225">
        <f>50+60+4.5+100+50+50+150+128+50+49.7+662.6+50+50</f>
        <v>1454.8000000000002</v>
      </c>
      <c r="D62" s="481">
        <f>50+100+40+3+50+50+50+100+50+50+136+97.56+1300.82+150+45+250+250+105</f>
        <v>2877.38</v>
      </c>
      <c r="E62" s="204">
        <f t="shared" si="22"/>
        <v>6377.9000000000005</v>
      </c>
      <c r="F62" s="203">
        <f>100+40+3+50+116+150+50+7.86+104.82+10.71+150</f>
        <v>782.3900000000001</v>
      </c>
      <c r="G62" s="203">
        <f>19.45+90+50+50+40+3+50+50+50+50+136+50+873.13+65.48+50</f>
        <v>1627.06</v>
      </c>
      <c r="H62" s="203">
        <f>60+150+40+3+50+50+100+50+50+50+124+100+159.25+11.94+50+100</f>
        <v>1148.19</v>
      </c>
      <c r="I62" s="204">
        <f t="shared" si="23"/>
        <v>3557.64</v>
      </c>
      <c r="J62" s="205">
        <f>45+50+40+3+187.5+2500+50+50+100+100+50+50+50+152+50+937.13+70.28+100</f>
        <v>4584.91</v>
      </c>
      <c r="K62" s="203">
        <f>60+8.89+50+100+150+50+50+40+3+50+108+50+50+43.44+579.17+150</f>
        <v>1542.5</v>
      </c>
      <c r="L62" s="203">
        <f>60+8.39+150+100+50+50+50+144+50+56.99+759.86+100</f>
        <v>1579.24</v>
      </c>
      <c r="M62" s="206">
        <f t="shared" si="24"/>
        <v>7706.65</v>
      </c>
      <c r="N62" s="411">
        <f>90+1.77+150+50+50+40+3+50+50+124+50+1255.88+94.19+100+50+100</f>
        <v>2258.84</v>
      </c>
      <c r="O62" s="240">
        <f>75+3.54+100+40+3+100+50+50+50+50+120+20.53+273.67+150</f>
        <v>1085.74</v>
      </c>
      <c r="P62" s="240">
        <f>50+50+100+50+50+100+60+4.5+50+50+50+100+50+164+50+73.39+978.49+100+100+50+105+1.94</f>
        <v>2387.3200000000002</v>
      </c>
      <c r="Q62" s="206">
        <f t="shared" si="25"/>
        <v>5731.9</v>
      </c>
      <c r="R62" s="215">
        <f t="shared" si="14"/>
        <v>6377.9000000000005</v>
      </c>
      <c r="S62" s="215">
        <f t="shared" si="15"/>
        <v>9935.5400000000009</v>
      </c>
      <c r="T62" s="215">
        <f t="shared" si="16"/>
        <v>17642.190000000002</v>
      </c>
      <c r="U62" s="215">
        <f t="shared" si="17"/>
        <v>23374.090000000004</v>
      </c>
      <c r="V62" s="216">
        <v>24000</v>
      </c>
    </row>
    <row r="63" spans="1:22" ht="21">
      <c r="A63" s="239" t="s">
        <v>62</v>
      </c>
      <c r="B63" s="231"/>
      <c r="C63" s="203">
        <v>3000</v>
      </c>
      <c r="D63" s="472">
        <f>-880+3000</f>
        <v>2120</v>
      </c>
      <c r="E63" s="204">
        <f t="shared" si="22"/>
        <v>5120</v>
      </c>
      <c r="F63" s="203"/>
      <c r="G63" s="203"/>
      <c r="H63" s="203"/>
      <c r="I63" s="204">
        <f t="shared" si="23"/>
        <v>0</v>
      </c>
      <c r="J63" s="205">
        <v>3000</v>
      </c>
      <c r="K63" s="203">
        <f>3000+3000</f>
        <v>6000</v>
      </c>
      <c r="L63" s="203"/>
      <c r="M63" s="206">
        <f t="shared" si="24"/>
        <v>9000</v>
      </c>
      <c r="N63" s="240">
        <f>3000</f>
        <v>3000</v>
      </c>
      <c r="O63" s="240">
        <f>-100+3000</f>
        <v>2900</v>
      </c>
      <c r="P63" s="240">
        <f>3000</f>
        <v>3000</v>
      </c>
      <c r="Q63" s="206">
        <f t="shared" si="25"/>
        <v>8900</v>
      </c>
      <c r="R63" s="215">
        <f t="shared" si="14"/>
        <v>5120</v>
      </c>
      <c r="S63" s="215">
        <f t="shared" si="15"/>
        <v>5120</v>
      </c>
      <c r="T63" s="215">
        <f t="shared" si="16"/>
        <v>14120</v>
      </c>
      <c r="U63" s="215">
        <f t="shared" si="17"/>
        <v>23020</v>
      </c>
      <c r="V63" s="216">
        <v>36000</v>
      </c>
    </row>
    <row r="64" spans="1:22" ht="21">
      <c r="A64" s="239" t="s">
        <v>63</v>
      </c>
      <c r="B64" s="231">
        <f>13500+3500</f>
        <v>17000</v>
      </c>
      <c r="C64" s="203">
        <f>-4550</f>
        <v>-4550</v>
      </c>
      <c r="D64" s="472">
        <f>-300+6000</f>
        <v>5700</v>
      </c>
      <c r="E64" s="204">
        <f t="shared" si="22"/>
        <v>18150</v>
      </c>
      <c r="F64" s="203">
        <f>4000</f>
        <v>4000</v>
      </c>
      <c r="G64" s="203"/>
      <c r="H64" s="203">
        <f>6000+3500</f>
        <v>9500</v>
      </c>
      <c r="I64" s="204">
        <f t="shared" si="23"/>
        <v>13500</v>
      </c>
      <c r="J64" s="205">
        <f>3500</f>
        <v>3500</v>
      </c>
      <c r="K64" s="203">
        <f>-350+6000</f>
        <v>5650</v>
      </c>
      <c r="L64" s="203">
        <f>3500</f>
        <v>3500</v>
      </c>
      <c r="M64" s="206">
        <f t="shared" si="24"/>
        <v>12650</v>
      </c>
      <c r="N64" s="240">
        <f>3500+800</f>
        <v>4300</v>
      </c>
      <c r="O64" s="240">
        <f>25000+6500</f>
        <v>31500</v>
      </c>
      <c r="P64" s="240">
        <f>7000+70000-800</f>
        <v>76200</v>
      </c>
      <c r="Q64" s="206">
        <f t="shared" si="25"/>
        <v>112000</v>
      </c>
      <c r="R64" s="215">
        <f t="shared" si="14"/>
        <v>18150</v>
      </c>
      <c r="S64" s="215">
        <f t="shared" si="15"/>
        <v>31650</v>
      </c>
      <c r="T64" s="215">
        <f t="shared" si="16"/>
        <v>44300</v>
      </c>
      <c r="U64" s="215">
        <f t="shared" si="17"/>
        <v>156300</v>
      </c>
      <c r="V64" s="216">
        <v>250000</v>
      </c>
    </row>
    <row r="65" spans="1:22" ht="21">
      <c r="A65" s="239" t="s">
        <v>64</v>
      </c>
      <c r="B65" s="231"/>
      <c r="C65" s="203">
        <f>12000</f>
        <v>12000</v>
      </c>
      <c r="D65" s="472"/>
      <c r="E65" s="204">
        <f t="shared" si="22"/>
        <v>12000</v>
      </c>
      <c r="F65" s="203"/>
      <c r="G65" s="203"/>
      <c r="H65" s="203"/>
      <c r="I65" s="204">
        <f t="shared" si="23"/>
        <v>0</v>
      </c>
      <c r="J65" s="205"/>
      <c r="K65" s="203">
        <f>-4000+3000</f>
        <v>-1000</v>
      </c>
      <c r="L65" s="203"/>
      <c r="M65" s="206">
        <f t="shared" si="24"/>
        <v>-1000</v>
      </c>
      <c r="N65" s="240"/>
      <c r="O65" s="240"/>
      <c r="P65" s="240"/>
      <c r="Q65" s="206">
        <f t="shared" si="25"/>
        <v>0</v>
      </c>
      <c r="R65" s="215">
        <f t="shared" si="14"/>
        <v>12000</v>
      </c>
      <c r="S65" s="215">
        <f t="shared" si="15"/>
        <v>12000</v>
      </c>
      <c r="T65" s="215">
        <f t="shared" si="16"/>
        <v>11000</v>
      </c>
      <c r="U65" s="215">
        <f t="shared" si="17"/>
        <v>11000</v>
      </c>
      <c r="V65" s="216">
        <v>160000</v>
      </c>
    </row>
    <row r="66" spans="1:22" ht="21">
      <c r="A66" s="239" t="s">
        <v>80</v>
      </c>
      <c r="B66" s="231"/>
      <c r="C66" s="203"/>
      <c r="D66" s="472"/>
      <c r="E66" s="204">
        <f t="shared" si="22"/>
        <v>0</v>
      </c>
      <c r="F66" s="203"/>
      <c r="G66" s="203"/>
      <c r="H66" s="203"/>
      <c r="I66" s="204">
        <f t="shared" si="23"/>
        <v>0</v>
      </c>
      <c r="J66" s="205"/>
      <c r="K66" s="203"/>
      <c r="L66" s="225"/>
      <c r="M66" s="245">
        <f t="shared" si="24"/>
        <v>0</v>
      </c>
      <c r="N66" s="246"/>
      <c r="O66" s="246"/>
      <c r="P66" s="246"/>
      <c r="Q66" s="245">
        <f t="shared" si="25"/>
        <v>0</v>
      </c>
      <c r="R66" s="230">
        <f t="shared" si="14"/>
        <v>0</v>
      </c>
      <c r="S66" s="230">
        <f t="shared" si="15"/>
        <v>0</v>
      </c>
      <c r="T66" s="230">
        <f t="shared" si="16"/>
        <v>0</v>
      </c>
      <c r="U66" s="230">
        <f t="shared" si="17"/>
        <v>0</v>
      </c>
      <c r="V66" s="216">
        <v>25000</v>
      </c>
    </row>
    <row r="67" spans="1:22" ht="21">
      <c r="A67" s="239" t="s">
        <v>79</v>
      </c>
      <c r="B67" s="231"/>
      <c r="C67" s="203"/>
      <c r="D67" s="472"/>
      <c r="E67" s="204">
        <f t="shared" si="22"/>
        <v>0</v>
      </c>
      <c r="F67" s="203"/>
      <c r="G67" s="203"/>
      <c r="H67" s="203"/>
      <c r="I67" s="204">
        <f t="shared" si="23"/>
        <v>0</v>
      </c>
      <c r="J67" s="205">
        <v>15000</v>
      </c>
      <c r="K67" s="203"/>
      <c r="L67" s="203"/>
      <c r="M67" s="206">
        <f t="shared" si="24"/>
        <v>15000</v>
      </c>
      <c r="N67" s="240"/>
      <c r="O67" s="240">
        <v>10000</v>
      </c>
      <c r="P67" s="240"/>
      <c r="Q67" s="206">
        <f t="shared" si="25"/>
        <v>10000</v>
      </c>
      <c r="R67" s="215">
        <f t="shared" si="14"/>
        <v>0</v>
      </c>
      <c r="S67" s="215">
        <f t="shared" si="15"/>
        <v>0</v>
      </c>
      <c r="T67" s="215">
        <f t="shared" si="16"/>
        <v>15000</v>
      </c>
      <c r="U67" s="215">
        <f t="shared" si="17"/>
        <v>25000</v>
      </c>
      <c r="V67" s="216">
        <v>40000</v>
      </c>
    </row>
    <row r="68" spans="1:22" ht="21">
      <c r="A68" s="242" t="s">
        <v>83</v>
      </c>
      <c r="B68" s="240">
        <f>80*145</f>
        <v>11600</v>
      </c>
      <c r="C68" s="240">
        <f>80*145</f>
        <v>11600</v>
      </c>
      <c r="D68" s="482">
        <f>(80*145)+(6500/2)</f>
        <v>14850</v>
      </c>
      <c r="E68" s="204">
        <f t="shared" si="22"/>
        <v>38050</v>
      </c>
      <c r="F68" s="203"/>
      <c r="G68" s="203">
        <f>85*125</f>
        <v>10625</v>
      </c>
      <c r="H68" s="203">
        <f>110*125</f>
        <v>13750</v>
      </c>
      <c r="I68" s="204">
        <f t="shared" si="23"/>
        <v>24375</v>
      </c>
      <c r="J68" s="205">
        <f>110*145</f>
        <v>15950</v>
      </c>
      <c r="K68" s="205">
        <f>110*145</f>
        <v>15950</v>
      </c>
      <c r="L68" s="515">
        <f>110*160</f>
        <v>17600</v>
      </c>
      <c r="M68" s="206">
        <f t="shared" si="24"/>
        <v>49500</v>
      </c>
      <c r="N68" s="515">
        <f>110*160</f>
        <v>17600</v>
      </c>
      <c r="O68" s="240">
        <f>170*110</f>
        <v>18700</v>
      </c>
      <c r="P68" s="240">
        <f>165*110</f>
        <v>18150</v>
      </c>
      <c r="Q68" s="206">
        <f t="shared" si="25"/>
        <v>54450</v>
      </c>
      <c r="R68" s="215">
        <f t="shared" si="14"/>
        <v>38050</v>
      </c>
      <c r="S68" s="215">
        <f t="shared" si="15"/>
        <v>62425</v>
      </c>
      <c r="T68" s="215">
        <f t="shared" si="16"/>
        <v>111925</v>
      </c>
      <c r="U68" s="215">
        <f t="shared" si="17"/>
        <v>166375</v>
      </c>
      <c r="V68" s="216">
        <v>140000</v>
      </c>
    </row>
    <row r="69" spans="1:22" ht="21">
      <c r="A69" s="239" t="s">
        <v>82</v>
      </c>
      <c r="B69" s="240">
        <f>145*60</f>
        <v>8700</v>
      </c>
      <c r="C69" s="240">
        <f>145*60</f>
        <v>8700</v>
      </c>
      <c r="D69" s="482">
        <f>(145*60)+(6500/2)</f>
        <v>11950</v>
      </c>
      <c r="E69" s="204">
        <f t="shared" si="22"/>
        <v>29350</v>
      </c>
      <c r="F69" s="203"/>
      <c r="G69" s="203">
        <f>(60*125)+10440+4300</f>
        <v>22240</v>
      </c>
      <c r="H69" s="203">
        <f>(60*125)</f>
        <v>7500</v>
      </c>
      <c r="I69" s="241">
        <f t="shared" si="23"/>
        <v>29740</v>
      </c>
      <c r="J69" s="205">
        <f>145*60</f>
        <v>8700</v>
      </c>
      <c r="K69" s="205">
        <f>145*60</f>
        <v>8700</v>
      </c>
      <c r="L69" s="515">
        <f>60*160</f>
        <v>9600</v>
      </c>
      <c r="M69" s="206">
        <f t="shared" si="24"/>
        <v>27000</v>
      </c>
      <c r="N69" s="515">
        <f>60*160</f>
        <v>9600</v>
      </c>
      <c r="O69" s="240">
        <f>60*170</f>
        <v>10200</v>
      </c>
      <c r="P69" s="240">
        <f>165*60</f>
        <v>9900</v>
      </c>
      <c r="Q69" s="206">
        <f t="shared" si="25"/>
        <v>29700</v>
      </c>
      <c r="R69" s="215">
        <f>E69</f>
        <v>29350</v>
      </c>
      <c r="S69" s="215">
        <f>E69+I69</f>
        <v>59090</v>
      </c>
      <c r="T69" s="215">
        <f>E69+I69+M69</f>
        <v>86090</v>
      </c>
      <c r="U69" s="215">
        <f>E69+I69+M69+Q69</f>
        <v>115790</v>
      </c>
      <c r="V69" s="216">
        <v>100000</v>
      </c>
    </row>
    <row r="70" spans="1:22" ht="21">
      <c r="A70" s="239" t="s">
        <v>65</v>
      </c>
      <c r="B70" s="247"/>
      <c r="C70" s="247"/>
      <c r="D70" s="483"/>
      <c r="E70" s="204">
        <f t="shared" si="22"/>
        <v>0</v>
      </c>
      <c r="F70" s="203"/>
      <c r="G70" s="203"/>
      <c r="H70" s="203"/>
      <c r="I70" s="204">
        <f t="shared" si="23"/>
        <v>0</v>
      </c>
      <c r="J70" s="205"/>
      <c r="K70" s="203"/>
      <c r="L70" s="203"/>
      <c r="M70" s="206">
        <f t="shared" si="24"/>
        <v>0</v>
      </c>
      <c r="N70" s="240"/>
      <c r="O70" s="240"/>
      <c r="P70" s="240"/>
      <c r="Q70" s="206">
        <f t="shared" si="25"/>
        <v>0</v>
      </c>
      <c r="R70" s="215">
        <f>E70</f>
        <v>0</v>
      </c>
      <c r="S70" s="215">
        <f>E70+I70</f>
        <v>0</v>
      </c>
      <c r="T70" s="215">
        <f>E70+I70+M70</f>
        <v>0</v>
      </c>
      <c r="U70" s="215">
        <f>E70+I70+M70+Q70</f>
        <v>0</v>
      </c>
      <c r="V70" s="216">
        <v>10000</v>
      </c>
    </row>
    <row r="71" spans="1:22" ht="21">
      <c r="A71" s="239" t="s">
        <v>85</v>
      </c>
      <c r="B71" s="231"/>
      <c r="C71" s="203">
        <f>3800</f>
        <v>3800</v>
      </c>
      <c r="D71" s="472"/>
      <c r="E71" s="204">
        <f t="shared" si="22"/>
        <v>3800</v>
      </c>
      <c r="F71" s="203"/>
      <c r="G71" s="203"/>
      <c r="H71" s="203"/>
      <c r="I71" s="204">
        <f t="shared" si="23"/>
        <v>0</v>
      </c>
      <c r="J71" s="205"/>
      <c r="K71" s="503">
        <v>5000</v>
      </c>
      <c r="L71" s="203"/>
      <c r="M71" s="206">
        <f t="shared" si="24"/>
        <v>5000</v>
      </c>
      <c r="N71" s="240"/>
      <c r="O71" s="240"/>
      <c r="P71" s="240"/>
      <c r="Q71" s="206">
        <f t="shared" si="25"/>
        <v>0</v>
      </c>
      <c r="R71" s="215">
        <f>E71</f>
        <v>3800</v>
      </c>
      <c r="S71" s="215">
        <f>E71+I71</f>
        <v>3800</v>
      </c>
      <c r="T71" s="215">
        <f>E71+I71+M71</f>
        <v>8800</v>
      </c>
      <c r="U71" s="215">
        <f>E71+I71+M71+Q71</f>
        <v>8800</v>
      </c>
      <c r="V71" s="216">
        <v>100000</v>
      </c>
    </row>
    <row r="72" spans="1:22" ht="63">
      <c r="A72" s="242" t="s">
        <v>173</v>
      </c>
      <c r="B72" s="227"/>
      <c r="C72" s="203">
        <v>190</v>
      </c>
      <c r="D72" s="472"/>
      <c r="E72" s="250">
        <f t="shared" ref="E72:E77" si="27">SUM(B72:D72)</f>
        <v>190</v>
      </c>
      <c r="F72" s="225"/>
      <c r="G72" s="225"/>
      <c r="H72" s="225"/>
      <c r="I72" s="250">
        <f t="shared" ref="I72:I77" si="28">SUM(F72:H72)</f>
        <v>0</v>
      </c>
      <c r="J72" s="252"/>
      <c r="K72" s="511">
        <f>2000+3200</f>
        <v>5200</v>
      </c>
      <c r="L72" s="225">
        <f>20000+10000</f>
        <v>30000</v>
      </c>
      <c r="M72" s="245">
        <f t="shared" ref="M72:M77" si="29">SUM(J72:L72)</f>
        <v>35200</v>
      </c>
      <c r="N72" s="246">
        <f>20000+14000+10000+5000+500+500</f>
        <v>50000</v>
      </c>
      <c r="O72" s="315">
        <f>2500+2500</f>
        <v>5000</v>
      </c>
      <c r="P72" s="246"/>
      <c r="Q72" s="206">
        <f t="shared" ref="Q72:Q77" si="30">SUM(N72:P72)</f>
        <v>55000</v>
      </c>
      <c r="R72" s="215">
        <f t="shared" ref="R72:R77" si="31">E72</f>
        <v>190</v>
      </c>
      <c r="S72" s="215">
        <f t="shared" ref="S72:S77" si="32">E72+I72</f>
        <v>190</v>
      </c>
      <c r="T72" s="215">
        <f t="shared" ref="T72:T77" si="33">E72+I72+M72</f>
        <v>35390</v>
      </c>
      <c r="U72" s="215">
        <f t="shared" ref="U72:U77" si="34">E72+I72+M72+Q72</f>
        <v>90390</v>
      </c>
      <c r="V72" s="216">
        <v>100000</v>
      </c>
    </row>
    <row r="73" spans="1:22" ht="21">
      <c r="A73" s="239" t="s">
        <v>84</v>
      </c>
      <c r="B73" s="231">
        <v>2000</v>
      </c>
      <c r="C73" s="203">
        <v>2000</v>
      </c>
      <c r="D73" s="472">
        <v>2000</v>
      </c>
      <c r="E73" s="204">
        <f t="shared" si="27"/>
        <v>6000</v>
      </c>
      <c r="F73" s="203">
        <v>2000</v>
      </c>
      <c r="G73" s="203">
        <v>2000</v>
      </c>
      <c r="H73" s="203">
        <v>2000</v>
      </c>
      <c r="I73" s="204">
        <f t="shared" si="28"/>
        <v>6000</v>
      </c>
      <c r="J73" s="205">
        <v>2000</v>
      </c>
      <c r="K73" s="503">
        <v>2000</v>
      </c>
      <c r="L73" s="203">
        <v>2000</v>
      </c>
      <c r="M73" s="206">
        <f t="shared" si="29"/>
        <v>6000</v>
      </c>
      <c r="N73" s="240">
        <v>2000</v>
      </c>
      <c r="O73" s="240">
        <v>2000</v>
      </c>
      <c r="P73" s="240">
        <v>2000</v>
      </c>
      <c r="Q73" s="206">
        <f t="shared" si="30"/>
        <v>6000</v>
      </c>
      <c r="R73" s="215">
        <f t="shared" si="31"/>
        <v>6000</v>
      </c>
      <c r="S73" s="215">
        <f t="shared" si="32"/>
        <v>12000</v>
      </c>
      <c r="T73" s="215">
        <f t="shared" si="33"/>
        <v>18000</v>
      </c>
      <c r="U73" s="215">
        <f t="shared" si="34"/>
        <v>24000</v>
      </c>
      <c r="V73" s="216">
        <v>24000</v>
      </c>
    </row>
    <row r="74" spans="1:22" ht="21">
      <c r="A74" s="242" t="s">
        <v>61</v>
      </c>
      <c r="B74" s="248"/>
      <c r="C74" s="203"/>
      <c r="D74" s="472"/>
      <c r="E74" s="204">
        <f t="shared" si="27"/>
        <v>0</v>
      </c>
      <c r="F74" s="203"/>
      <c r="G74" s="203"/>
      <c r="H74" s="203">
        <v>8000</v>
      </c>
      <c r="I74" s="204">
        <f t="shared" si="28"/>
        <v>8000</v>
      </c>
      <c r="J74" s="205"/>
      <c r="K74" s="503">
        <f>11500+5000</f>
        <v>16500</v>
      </c>
      <c r="L74" s="203">
        <f>5000+1000</f>
        <v>6000</v>
      </c>
      <c r="M74" s="206">
        <f t="shared" si="29"/>
        <v>22500</v>
      </c>
      <c r="N74" s="240"/>
      <c r="O74" s="240"/>
      <c r="P74" s="240"/>
      <c r="Q74" s="206">
        <f t="shared" si="30"/>
        <v>0</v>
      </c>
      <c r="R74" s="215">
        <f t="shared" si="31"/>
        <v>0</v>
      </c>
      <c r="S74" s="215">
        <f t="shared" si="32"/>
        <v>8000</v>
      </c>
      <c r="T74" s="215">
        <f t="shared" si="33"/>
        <v>30500</v>
      </c>
      <c r="U74" s="215">
        <f t="shared" si="34"/>
        <v>30500</v>
      </c>
      <c r="V74" s="216">
        <v>100000</v>
      </c>
    </row>
    <row r="75" spans="1:22" ht="21">
      <c r="A75" s="239" t="s">
        <v>81</v>
      </c>
      <c r="B75" s="231"/>
      <c r="C75" s="203"/>
      <c r="D75" s="472"/>
      <c r="E75" s="204">
        <f t="shared" si="27"/>
        <v>0</v>
      </c>
      <c r="F75" s="203"/>
      <c r="G75" s="203"/>
      <c r="H75" s="203">
        <v>120000</v>
      </c>
      <c r="I75" s="204">
        <f t="shared" si="28"/>
        <v>120000</v>
      </c>
      <c r="J75" s="205"/>
      <c r="K75" s="503">
        <f>49650-(170*145)</f>
        <v>25000</v>
      </c>
      <c r="L75" s="203"/>
      <c r="M75" s="206">
        <f t="shared" si="29"/>
        <v>25000</v>
      </c>
      <c r="N75" s="503">
        <f>45000+15000</f>
        <v>60000</v>
      </c>
      <c r="O75" s="249"/>
      <c r="P75" s="240"/>
      <c r="Q75" s="206">
        <f t="shared" si="30"/>
        <v>60000</v>
      </c>
      <c r="R75" s="215">
        <f t="shared" si="31"/>
        <v>0</v>
      </c>
      <c r="S75" s="215">
        <f t="shared" si="32"/>
        <v>120000</v>
      </c>
      <c r="T75" s="215">
        <f t="shared" si="33"/>
        <v>145000</v>
      </c>
      <c r="U75" s="215">
        <f t="shared" si="34"/>
        <v>205000</v>
      </c>
      <c r="V75" s="216">
        <v>120000</v>
      </c>
    </row>
    <row r="76" spans="1:22" ht="21">
      <c r="A76" s="239" t="s">
        <v>91</v>
      </c>
      <c r="B76" s="243"/>
      <c r="C76" s="210"/>
      <c r="D76" s="472"/>
      <c r="E76" s="204">
        <f t="shared" si="27"/>
        <v>0</v>
      </c>
      <c r="F76" s="203"/>
      <c r="G76" s="203"/>
      <c r="H76" s="203"/>
      <c r="I76" s="204">
        <f t="shared" si="28"/>
        <v>0</v>
      </c>
      <c r="J76" s="205"/>
      <c r="K76" s="503">
        <v>5000</v>
      </c>
      <c r="L76" s="203"/>
      <c r="M76" s="206">
        <f t="shared" si="29"/>
        <v>5000</v>
      </c>
      <c r="N76" s="240"/>
      <c r="O76" s="240"/>
      <c r="P76" s="240"/>
      <c r="Q76" s="206">
        <f t="shared" si="30"/>
        <v>0</v>
      </c>
      <c r="R76" s="215">
        <f t="shared" si="31"/>
        <v>0</v>
      </c>
      <c r="S76" s="215">
        <f t="shared" si="32"/>
        <v>0</v>
      </c>
      <c r="T76" s="215">
        <f t="shared" si="33"/>
        <v>5000</v>
      </c>
      <c r="U76" s="215">
        <f t="shared" si="34"/>
        <v>5000</v>
      </c>
      <c r="V76" s="216">
        <v>5000</v>
      </c>
    </row>
    <row r="77" spans="1:22" ht="42">
      <c r="A77" s="242" t="s">
        <v>160</v>
      </c>
      <c r="B77" s="231">
        <f>40000</f>
        <v>40000</v>
      </c>
      <c r="C77" s="203">
        <v>6500</v>
      </c>
      <c r="D77" s="481"/>
      <c r="E77" s="250">
        <f t="shared" si="27"/>
        <v>46500</v>
      </c>
      <c r="F77" s="225"/>
      <c r="G77" s="225"/>
      <c r="H77" s="225"/>
      <c r="I77" s="251">
        <f t="shared" si="28"/>
        <v>0</v>
      </c>
      <c r="J77" s="252"/>
      <c r="K77" s="225"/>
      <c r="L77" s="225"/>
      <c r="M77" s="245">
        <f t="shared" si="29"/>
        <v>0</v>
      </c>
      <c r="N77" s="246"/>
      <c r="O77" s="246"/>
      <c r="P77" s="246"/>
      <c r="Q77" s="245">
        <f t="shared" si="30"/>
        <v>0</v>
      </c>
      <c r="R77" s="230">
        <f t="shared" si="31"/>
        <v>46500</v>
      </c>
      <c r="S77" s="230">
        <f t="shared" si="32"/>
        <v>46500</v>
      </c>
      <c r="T77" s="230">
        <f t="shared" si="33"/>
        <v>46500</v>
      </c>
      <c r="U77" s="230">
        <f t="shared" si="34"/>
        <v>46500</v>
      </c>
      <c r="V77" s="216">
        <v>50000</v>
      </c>
    </row>
    <row r="78" spans="1:22" ht="21">
      <c r="A78" s="239"/>
      <c r="B78" s="231"/>
      <c r="C78" s="203"/>
      <c r="D78" s="472"/>
      <c r="E78" s="250">
        <f>SUM(B78:D78)</f>
        <v>0</v>
      </c>
      <c r="F78" s="225"/>
      <c r="G78" s="225"/>
      <c r="H78" s="225"/>
      <c r="I78" s="251">
        <f>SUM(F78:H78)</f>
        <v>0</v>
      </c>
      <c r="J78" s="252"/>
      <c r="K78" s="225"/>
      <c r="L78" s="225"/>
      <c r="M78" s="245">
        <f>SUM(J78:L78)</f>
        <v>0</v>
      </c>
      <c r="N78" s="246"/>
      <c r="O78" s="246"/>
      <c r="P78" s="246"/>
      <c r="Q78" s="245">
        <f>SUM(N78:P78)</f>
        <v>0</v>
      </c>
      <c r="R78" s="230">
        <f>E78</f>
        <v>0</v>
      </c>
      <c r="S78" s="230">
        <f>E78+I78</f>
        <v>0</v>
      </c>
      <c r="T78" s="230">
        <f>E78+I78+M78</f>
        <v>0</v>
      </c>
      <c r="U78" s="230">
        <f>E78+I78+M78+Q78</f>
        <v>0</v>
      </c>
      <c r="V78" s="216"/>
    </row>
    <row r="79" spans="1:22" ht="21">
      <c r="A79" s="237" t="s">
        <v>66</v>
      </c>
      <c r="B79" s="253">
        <f>SUM(B80:B85)</f>
        <v>150</v>
      </c>
      <c r="C79" s="253">
        <f>SUM(C80:C85)</f>
        <v>461510</v>
      </c>
      <c r="D79" s="484">
        <f t="shared" ref="D79:Q79" si="35">SUM(D80:D85)</f>
        <v>78</v>
      </c>
      <c r="E79" s="253">
        <f t="shared" si="35"/>
        <v>461738</v>
      </c>
      <c r="F79" s="253">
        <f t="shared" si="35"/>
        <v>-49934</v>
      </c>
      <c r="G79" s="253">
        <f>SUM(G80:G85)</f>
        <v>45062</v>
      </c>
      <c r="H79" s="253">
        <f>SUM(H80:H85)</f>
        <v>128</v>
      </c>
      <c r="I79" s="253">
        <f t="shared" si="35"/>
        <v>-4744</v>
      </c>
      <c r="J79" s="349">
        <f>SUM(J80:J85)</f>
        <v>601128</v>
      </c>
      <c r="K79" s="253">
        <f t="shared" si="35"/>
        <v>528538</v>
      </c>
      <c r="L79" s="253">
        <f>SUM(L80:L85)</f>
        <v>48</v>
      </c>
      <c r="M79" s="253">
        <f>SUM(M80:M85)</f>
        <v>1129714</v>
      </c>
      <c r="N79" s="253">
        <f>SUM(N80:N85)</f>
        <v>116140</v>
      </c>
      <c r="O79" s="253">
        <f>SUM(O80:O85)</f>
        <v>138162</v>
      </c>
      <c r="P79" s="253">
        <f t="shared" si="35"/>
        <v>199008</v>
      </c>
      <c r="Q79" s="253">
        <f t="shared" si="35"/>
        <v>453310</v>
      </c>
      <c r="R79" s="215">
        <f>SUM(R80:R85)</f>
        <v>461738</v>
      </c>
      <c r="S79" s="215">
        <f>SUM(S80:S85)</f>
        <v>456994</v>
      </c>
      <c r="T79" s="215">
        <f>SUM(T80:T85)</f>
        <v>1586708</v>
      </c>
      <c r="U79" s="215">
        <f>SUM(U80:U85)</f>
        <v>2040018</v>
      </c>
      <c r="V79" s="220">
        <f>SUM(V80:V86)</f>
        <v>2001200</v>
      </c>
    </row>
    <row r="80" spans="1:22" ht="21">
      <c r="A80" s="239" t="s">
        <v>86</v>
      </c>
      <c r="B80" s="231">
        <f>100+50</f>
        <v>150</v>
      </c>
      <c r="C80" s="203">
        <f>24+50+16</f>
        <v>90</v>
      </c>
      <c r="D80" s="472">
        <f>50+28</f>
        <v>78</v>
      </c>
      <c r="E80" s="204">
        <f t="shared" si="22"/>
        <v>318</v>
      </c>
      <c r="F80" s="203">
        <f>16+50</f>
        <v>66</v>
      </c>
      <c r="G80" s="203">
        <f>50+12</f>
        <v>62</v>
      </c>
      <c r="H80" s="203">
        <f>50+28+50</f>
        <v>128</v>
      </c>
      <c r="I80" s="204">
        <f t="shared" si="23"/>
        <v>256</v>
      </c>
      <c r="J80" s="205">
        <f>50+50+28</f>
        <v>128</v>
      </c>
      <c r="K80" s="203">
        <f>50+48+50</f>
        <v>148</v>
      </c>
      <c r="L80" s="203">
        <f>44+4</f>
        <v>48</v>
      </c>
      <c r="M80" s="206">
        <f>SUM(J80:L80)</f>
        <v>324</v>
      </c>
      <c r="N80" s="240">
        <f>50+50+40</f>
        <v>140</v>
      </c>
      <c r="O80" s="240">
        <f>12+50</f>
        <v>62</v>
      </c>
      <c r="P80" s="240">
        <v>8</v>
      </c>
      <c r="Q80" s="206">
        <f>SUM(N80:P80)</f>
        <v>210</v>
      </c>
      <c r="R80" s="215">
        <f t="shared" ref="R80:R110" si="36">E80</f>
        <v>318</v>
      </c>
      <c r="S80" s="215">
        <f t="shared" ref="S80:S85" si="37">E80+I80</f>
        <v>574</v>
      </c>
      <c r="T80" s="215">
        <f t="shared" ref="T80:T85" si="38">E80+I80+M80</f>
        <v>898</v>
      </c>
      <c r="U80" s="215">
        <f t="shared" ref="U80:U85" si="39">E80+I80+M80+Q80</f>
        <v>1108</v>
      </c>
      <c r="V80" s="216">
        <v>1200</v>
      </c>
    </row>
    <row r="81" spans="1:27" ht="21">
      <c r="A81" s="239" t="s">
        <v>87</v>
      </c>
      <c r="B81" s="247"/>
      <c r="C81" s="203"/>
      <c r="D81" s="472"/>
      <c r="E81" s="204">
        <f t="shared" si="22"/>
        <v>0</v>
      </c>
      <c r="F81" s="203"/>
      <c r="G81" s="203"/>
      <c r="H81" s="203"/>
      <c r="I81" s="204">
        <f t="shared" si="23"/>
        <v>0</v>
      </c>
      <c r="J81" s="205"/>
      <c r="K81" s="203"/>
      <c r="L81" s="203"/>
      <c r="M81" s="206">
        <f t="shared" si="24"/>
        <v>0</v>
      </c>
      <c r="N81" s="240"/>
      <c r="O81" s="240"/>
      <c r="P81" s="240"/>
      <c r="Q81" s="206">
        <f t="shared" si="25"/>
        <v>0</v>
      </c>
      <c r="R81" s="215">
        <f t="shared" si="36"/>
        <v>0</v>
      </c>
      <c r="S81" s="215">
        <f t="shared" si="37"/>
        <v>0</v>
      </c>
      <c r="T81" s="215">
        <f t="shared" si="38"/>
        <v>0</v>
      </c>
      <c r="U81" s="215">
        <f t="shared" si="39"/>
        <v>0</v>
      </c>
      <c r="V81" s="216">
        <v>0</v>
      </c>
    </row>
    <row r="82" spans="1:27" ht="21">
      <c r="A82" s="239" t="s">
        <v>109</v>
      </c>
      <c r="B82" s="247"/>
      <c r="C82" s="203"/>
      <c r="D82" s="472"/>
      <c r="E82" s="204">
        <f t="shared" si="22"/>
        <v>0</v>
      </c>
      <c r="F82" s="203"/>
      <c r="G82" s="203"/>
      <c r="H82" s="203"/>
      <c r="I82" s="204">
        <f t="shared" si="23"/>
        <v>0</v>
      </c>
      <c r="J82" s="205"/>
      <c r="K82" s="203"/>
      <c r="L82" s="203"/>
      <c r="M82" s="206">
        <f t="shared" si="24"/>
        <v>0</v>
      </c>
      <c r="N82" s="240"/>
      <c r="O82" s="240"/>
      <c r="P82" s="240"/>
      <c r="Q82" s="206">
        <f t="shared" si="25"/>
        <v>0</v>
      </c>
      <c r="R82" s="215">
        <f t="shared" si="36"/>
        <v>0</v>
      </c>
      <c r="S82" s="215">
        <f t="shared" si="37"/>
        <v>0</v>
      </c>
      <c r="T82" s="215">
        <f t="shared" si="38"/>
        <v>0</v>
      </c>
      <c r="U82" s="215">
        <f t="shared" si="39"/>
        <v>0</v>
      </c>
      <c r="V82" s="216">
        <v>0</v>
      </c>
    </row>
    <row r="83" spans="1:27" ht="21">
      <c r="A83" s="239" t="s">
        <v>122</v>
      </c>
      <c r="B83" s="247"/>
      <c r="C83" s="203"/>
      <c r="D83" s="472"/>
      <c r="E83" s="204">
        <f t="shared" si="22"/>
        <v>0</v>
      </c>
      <c r="F83" s="203"/>
      <c r="G83" s="203"/>
      <c r="H83" s="203"/>
      <c r="I83" s="204">
        <f t="shared" si="23"/>
        <v>0</v>
      </c>
      <c r="J83" s="205"/>
      <c r="K83" s="203"/>
      <c r="L83" s="203"/>
      <c r="M83" s="206">
        <f>SUM(J83:L83)</f>
        <v>0</v>
      </c>
      <c r="N83" s="240"/>
      <c r="O83" s="240"/>
      <c r="P83" s="240"/>
      <c r="Q83" s="206">
        <f>SUM(N83:P83)</f>
        <v>0</v>
      </c>
      <c r="R83" s="215">
        <f>E83</f>
        <v>0</v>
      </c>
      <c r="S83" s="215">
        <f t="shared" si="37"/>
        <v>0</v>
      </c>
      <c r="T83" s="215">
        <f t="shared" si="38"/>
        <v>0</v>
      </c>
      <c r="U83" s="215">
        <f t="shared" si="39"/>
        <v>0</v>
      </c>
      <c r="V83" s="216">
        <v>0</v>
      </c>
    </row>
    <row r="84" spans="1:27" s="123" customFormat="1" ht="21">
      <c r="A84" s="239" t="s">
        <v>148</v>
      </c>
      <c r="B84" s="254"/>
      <c r="C84" s="225">
        <f>144420+144000+173000</f>
        <v>461420</v>
      </c>
      <c r="D84" s="481"/>
      <c r="E84" s="250">
        <f t="shared" si="22"/>
        <v>461420</v>
      </c>
      <c r="F84" s="225">
        <f>-46000-4000</f>
        <v>-50000</v>
      </c>
      <c r="G84" s="225">
        <v>45000</v>
      </c>
      <c r="H84" s="225"/>
      <c r="I84" s="250">
        <f>SUM(F84:H84)</f>
        <v>-5000</v>
      </c>
      <c r="J84" s="252">
        <f>212500+61000+125000+90000+112500</f>
        <v>601000</v>
      </c>
      <c r="K84" s="225">
        <f>78390+75000+150000+225000</f>
        <v>528390</v>
      </c>
      <c r="L84" s="225"/>
      <c r="M84" s="245">
        <f>SUM(J84:L84)</f>
        <v>1129390</v>
      </c>
      <c r="N84" s="252">
        <f>50000+84000-18000</f>
        <v>116000</v>
      </c>
      <c r="O84" s="252">
        <v>138100</v>
      </c>
      <c r="P84" s="252">
        <v>54000</v>
      </c>
      <c r="Q84" s="245">
        <f>SUM(N84:P84)</f>
        <v>308100</v>
      </c>
      <c r="R84" s="255">
        <f>E84</f>
        <v>461420</v>
      </c>
      <c r="S84" s="255">
        <f t="shared" si="37"/>
        <v>456420</v>
      </c>
      <c r="T84" s="255">
        <f t="shared" si="38"/>
        <v>1585810</v>
      </c>
      <c r="U84" s="255">
        <f t="shared" si="39"/>
        <v>1893910</v>
      </c>
      <c r="V84" s="216">
        <v>2000000</v>
      </c>
      <c r="AA84" s="529"/>
    </row>
    <row r="85" spans="1:27" ht="21">
      <c r="A85" s="239" t="s">
        <v>195</v>
      </c>
      <c r="B85" s="231"/>
      <c r="C85" s="203"/>
      <c r="D85" s="472"/>
      <c r="E85" s="250">
        <f>SUM(B85:D85)</f>
        <v>0</v>
      </c>
      <c r="F85" s="225"/>
      <c r="G85" s="225"/>
      <c r="H85" s="225"/>
      <c r="I85" s="251">
        <f>SUM(F85:H85)</f>
        <v>0</v>
      </c>
      <c r="J85" s="252"/>
      <c r="K85" s="225"/>
      <c r="L85" s="225"/>
      <c r="M85" s="245">
        <f>SUM(J85:L85)</f>
        <v>0</v>
      </c>
      <c r="N85" s="246"/>
      <c r="O85" s="246"/>
      <c r="P85" s="246">
        <v>145000</v>
      </c>
      <c r="Q85" s="245">
        <f>SUM(N85:P85)</f>
        <v>145000</v>
      </c>
      <c r="R85" s="230">
        <f>E85</f>
        <v>0</v>
      </c>
      <c r="S85" s="230">
        <f t="shared" si="37"/>
        <v>0</v>
      </c>
      <c r="T85" s="230">
        <f t="shared" si="38"/>
        <v>0</v>
      </c>
      <c r="U85" s="230">
        <f t="shared" si="39"/>
        <v>145000</v>
      </c>
      <c r="V85" s="216">
        <v>0</v>
      </c>
    </row>
    <row r="86" spans="1:27" ht="21">
      <c r="A86" s="239"/>
      <c r="B86" s="247"/>
      <c r="C86" s="203"/>
      <c r="D86" s="472"/>
      <c r="E86" s="204"/>
      <c r="F86" s="203"/>
      <c r="G86" s="203"/>
      <c r="H86" s="203"/>
      <c r="I86" s="204"/>
      <c r="J86" s="205"/>
      <c r="K86" s="203"/>
      <c r="L86" s="203"/>
      <c r="M86" s="206"/>
      <c r="N86" s="240"/>
      <c r="O86" s="240"/>
      <c r="P86" s="240"/>
      <c r="Q86" s="206"/>
      <c r="R86" s="215"/>
      <c r="S86" s="215"/>
      <c r="T86" s="215"/>
      <c r="U86" s="215"/>
      <c r="V86" s="216"/>
    </row>
    <row r="87" spans="1:27" ht="21">
      <c r="A87" s="237" t="s">
        <v>67</v>
      </c>
      <c r="B87" s="253">
        <f>SUM(B88:B90)</f>
        <v>0</v>
      </c>
      <c r="C87" s="253">
        <f>SUM(C88:C90)</f>
        <v>477531.30000000005</v>
      </c>
      <c r="D87" s="484">
        <f>SUM(D88:D90)</f>
        <v>14221.5</v>
      </c>
      <c r="E87" s="253">
        <f>SUM(E88:E90)</f>
        <v>491752.80000000005</v>
      </c>
      <c r="F87" s="253">
        <f t="shared" ref="F87:P87" si="40">SUM(F88:F90)</f>
        <v>0</v>
      </c>
      <c r="G87" s="253">
        <f t="shared" si="40"/>
        <v>505415.80000000005</v>
      </c>
      <c r="H87" s="253">
        <f t="shared" si="40"/>
        <v>150460.95000000001</v>
      </c>
      <c r="I87" s="253">
        <f t="shared" si="40"/>
        <v>655876.75</v>
      </c>
      <c r="J87" s="349">
        <f t="shared" si="40"/>
        <v>0</v>
      </c>
      <c r="K87" s="253">
        <f t="shared" si="40"/>
        <v>212876.7</v>
      </c>
      <c r="L87" s="253">
        <f t="shared" si="40"/>
        <v>0</v>
      </c>
      <c r="M87" s="257">
        <f>SUM(M88:M90)</f>
        <v>212876.7</v>
      </c>
      <c r="N87" s="253">
        <f t="shared" si="40"/>
        <v>419141.85000000003</v>
      </c>
      <c r="O87" s="253">
        <f t="shared" si="40"/>
        <v>116818</v>
      </c>
      <c r="P87" s="253">
        <f t="shared" si="40"/>
        <v>556584.69999999995</v>
      </c>
      <c r="Q87" s="257">
        <f>SUM(Q88:Q90)</f>
        <v>1092544.55</v>
      </c>
      <c r="R87" s="215">
        <f t="shared" si="36"/>
        <v>491752.80000000005</v>
      </c>
      <c r="S87" s="215">
        <f>E87+I87</f>
        <v>1147629.55</v>
      </c>
      <c r="T87" s="215">
        <f>E87+I87+M87</f>
        <v>1360506.25</v>
      </c>
      <c r="U87" s="215">
        <f>E87+I87+M87+Q87</f>
        <v>2453050.7999999998</v>
      </c>
      <c r="V87" s="220">
        <f>SUM(V88:V90)</f>
        <v>2700000</v>
      </c>
    </row>
    <row r="88" spans="1:27" ht="21">
      <c r="A88" s="239" t="s">
        <v>2</v>
      </c>
      <c r="B88" s="231"/>
      <c r="C88" s="203">
        <f>25536.87</f>
        <v>25536.87</v>
      </c>
      <c r="D88" s="472">
        <v>14221.5</v>
      </c>
      <c r="E88" s="204">
        <f t="shared" si="22"/>
        <v>39758.369999999995</v>
      </c>
      <c r="F88" s="210"/>
      <c r="G88" s="203">
        <f>41507.43</f>
        <v>41507.43</v>
      </c>
      <c r="H88" s="203">
        <v>15046.5</v>
      </c>
      <c r="I88" s="204">
        <f t="shared" si="23"/>
        <v>56553.93</v>
      </c>
      <c r="J88" s="205"/>
      <c r="K88" s="203">
        <v>34625.910000000003</v>
      </c>
      <c r="L88" s="203"/>
      <c r="M88" s="206">
        <f>SUM(J88:L88)</f>
        <v>34625.910000000003</v>
      </c>
      <c r="N88" s="240">
        <f>22735.3+17521.8</f>
        <v>40257.1</v>
      </c>
      <c r="O88" s="240"/>
      <c r="P88" s="240">
        <v>74109.77</v>
      </c>
      <c r="Q88" s="206">
        <f t="shared" si="25"/>
        <v>114366.87</v>
      </c>
      <c r="R88" s="215">
        <f t="shared" si="36"/>
        <v>39758.369999999995</v>
      </c>
      <c r="S88" s="215">
        <f>E88+I88</f>
        <v>96312.299999999988</v>
      </c>
      <c r="T88" s="215">
        <f>E88+I88+M88</f>
        <v>130938.20999999999</v>
      </c>
      <c r="U88" s="215">
        <f>E88+I88+M88+Q88</f>
        <v>245305.08</v>
      </c>
      <c r="V88" s="216">
        <v>350000</v>
      </c>
      <c r="Y88">
        <f>7500000+1000000</f>
        <v>8500000</v>
      </c>
    </row>
    <row r="89" spans="1:27" ht="21">
      <c r="A89" s="239" t="s">
        <v>1</v>
      </c>
      <c r="B89" s="231"/>
      <c r="C89" s="203">
        <f>59586.03</f>
        <v>59586.03</v>
      </c>
      <c r="D89" s="472"/>
      <c r="E89" s="204">
        <f t="shared" si="22"/>
        <v>59586.03</v>
      </c>
      <c r="F89" s="203"/>
      <c r="G89" s="203">
        <f>130034.17</f>
        <v>130034.17</v>
      </c>
      <c r="H89" s="203">
        <v>35107.449999999997</v>
      </c>
      <c r="I89" s="204">
        <f t="shared" si="23"/>
        <v>165141.62</v>
      </c>
      <c r="J89" s="205"/>
      <c r="K89" s="203">
        <v>80793.789999999994</v>
      </c>
      <c r="L89" s="203"/>
      <c r="M89" s="206">
        <f t="shared" si="24"/>
        <v>80793.789999999994</v>
      </c>
      <c r="N89" s="240">
        <f>53049.15+40884.2</f>
        <v>93933.35</v>
      </c>
      <c r="O89" s="240"/>
      <c r="P89" s="240">
        <v>172923.73</v>
      </c>
      <c r="Q89" s="206">
        <f t="shared" si="25"/>
        <v>266857.08</v>
      </c>
      <c r="R89" s="215">
        <f t="shared" si="36"/>
        <v>59586.03</v>
      </c>
      <c r="S89" s="215">
        <f>E89+I89</f>
        <v>224727.65</v>
      </c>
      <c r="T89" s="215">
        <f>E89+I89+M89</f>
        <v>305521.44</v>
      </c>
      <c r="U89" s="215">
        <f>E89+I89+M89+Q89</f>
        <v>572378.52</v>
      </c>
      <c r="V89" s="216">
        <v>650000</v>
      </c>
      <c r="Y89">
        <f>0.02*Y88</f>
        <v>170000</v>
      </c>
    </row>
    <row r="90" spans="1:27" ht="21">
      <c r="A90" s="239" t="s">
        <v>0</v>
      </c>
      <c r="B90" s="231"/>
      <c r="C90" s="203">
        <f>170245.8+184510.6+37652</f>
        <v>392408.4</v>
      </c>
      <c r="D90" s="472"/>
      <c r="E90" s="204">
        <f t="shared" si="22"/>
        <v>392408.4</v>
      </c>
      <c r="F90" s="203"/>
      <c r="G90" s="203">
        <f>333874.2</f>
        <v>333874.2</v>
      </c>
      <c r="H90" s="203">
        <v>100307</v>
      </c>
      <c r="I90" s="204">
        <f t="shared" si="23"/>
        <v>434181.2</v>
      </c>
      <c r="J90" s="205"/>
      <c r="K90" s="203">
        <v>97457</v>
      </c>
      <c r="L90" s="203"/>
      <c r="M90" s="206">
        <f t="shared" si="24"/>
        <v>97457</v>
      </c>
      <c r="N90" s="240">
        <f>133382.4+151569</f>
        <v>284951.40000000002</v>
      </c>
      <c r="O90" s="240">
        <v>116818</v>
      </c>
      <c r="P90" s="240">
        <v>309551.2</v>
      </c>
      <c r="Q90" s="206">
        <f t="shared" si="25"/>
        <v>711320.60000000009</v>
      </c>
      <c r="R90" s="215">
        <f t="shared" si="36"/>
        <v>392408.4</v>
      </c>
      <c r="S90" s="215">
        <f>E90+I90</f>
        <v>826589.60000000009</v>
      </c>
      <c r="T90" s="215">
        <f>E90+I90+M90</f>
        <v>924046.60000000009</v>
      </c>
      <c r="U90" s="215">
        <f>E90+I90+M90+Q90</f>
        <v>1635367.2000000002</v>
      </c>
      <c r="V90" s="216">
        <v>1700000</v>
      </c>
    </row>
    <row r="91" spans="1:27" ht="21">
      <c r="A91" s="239"/>
      <c r="B91" s="231"/>
      <c r="C91" s="203"/>
      <c r="D91" s="472"/>
      <c r="E91" s="204"/>
      <c r="F91" s="203"/>
      <c r="G91" s="203"/>
      <c r="H91" s="203"/>
      <c r="I91" s="204"/>
      <c r="J91" s="205"/>
      <c r="K91" s="203"/>
      <c r="L91" s="203"/>
      <c r="M91" s="206"/>
      <c r="N91" s="240"/>
      <c r="O91" s="240"/>
      <c r="P91" s="240"/>
      <c r="Q91" s="206"/>
      <c r="R91" s="215"/>
      <c r="S91" s="215"/>
      <c r="T91" s="215"/>
      <c r="U91" s="215"/>
      <c r="V91" s="216"/>
    </row>
    <row r="92" spans="1:27" ht="21">
      <c r="A92" s="237" t="s">
        <v>100</v>
      </c>
      <c r="B92" s="244">
        <f>SUM(B93:B94)</f>
        <v>0</v>
      </c>
      <c r="C92" s="244">
        <f t="shared" ref="C92:Q92" si="41">SUM(C93:C94)</f>
        <v>0</v>
      </c>
      <c r="D92" s="485">
        <f t="shared" si="41"/>
        <v>0</v>
      </c>
      <c r="E92" s="244">
        <f t="shared" si="41"/>
        <v>0</v>
      </c>
      <c r="F92" s="244">
        <f t="shared" si="41"/>
        <v>0</v>
      </c>
      <c r="G92" s="244">
        <f t="shared" si="41"/>
        <v>0</v>
      </c>
      <c r="H92" s="244">
        <f>SUM(H93:H94)</f>
        <v>400000</v>
      </c>
      <c r="I92" s="244">
        <f t="shared" si="41"/>
        <v>400000</v>
      </c>
      <c r="J92" s="206">
        <f t="shared" si="41"/>
        <v>0</v>
      </c>
      <c r="K92" s="244">
        <f t="shared" si="41"/>
        <v>0</v>
      </c>
      <c r="L92" s="244">
        <f t="shared" si="41"/>
        <v>0</v>
      </c>
      <c r="M92" s="206">
        <f t="shared" si="41"/>
        <v>0</v>
      </c>
      <c r="N92" s="206">
        <f t="shared" si="41"/>
        <v>400000</v>
      </c>
      <c r="O92" s="206">
        <f t="shared" si="41"/>
        <v>0</v>
      </c>
      <c r="P92" s="206">
        <f t="shared" si="41"/>
        <v>0</v>
      </c>
      <c r="Q92" s="206">
        <f t="shared" si="41"/>
        <v>0</v>
      </c>
      <c r="R92" s="215"/>
      <c r="S92" s="215">
        <f>E92+I92</f>
        <v>400000</v>
      </c>
      <c r="T92" s="215">
        <v>0</v>
      </c>
      <c r="U92" s="215">
        <v>0</v>
      </c>
      <c r="V92" s="220">
        <f>SUM(V93:V94)</f>
        <v>0</v>
      </c>
    </row>
    <row r="93" spans="1:27" ht="21">
      <c r="A93" s="239" t="s">
        <v>153</v>
      </c>
      <c r="B93" s="231"/>
      <c r="C93" s="203"/>
      <c r="D93" s="472"/>
      <c r="E93" s="204">
        <f>SUM(B93:D93)</f>
        <v>0</v>
      </c>
      <c r="F93" s="203"/>
      <c r="G93" s="203"/>
      <c r="H93" s="203"/>
      <c r="I93" s="204">
        <v>0</v>
      </c>
      <c r="J93" s="205"/>
      <c r="K93" s="203"/>
      <c r="L93" s="203"/>
      <c r="M93" s="206">
        <f>SUM(J93:L93)</f>
        <v>0</v>
      </c>
      <c r="N93" s="240"/>
      <c r="O93" s="240"/>
      <c r="P93" s="240"/>
      <c r="Q93" s="206">
        <f>SUM(N93:P93)</f>
        <v>0</v>
      </c>
      <c r="R93" s="215"/>
      <c r="S93" s="215">
        <f>E93+I93</f>
        <v>0</v>
      </c>
      <c r="T93" s="215">
        <f>E93+I93+M93</f>
        <v>0</v>
      </c>
      <c r="U93" s="215">
        <f>E93+I93+M93+Q93</f>
        <v>0</v>
      </c>
      <c r="V93" s="216"/>
    </row>
    <row r="94" spans="1:27" ht="21">
      <c r="A94" s="239" t="s">
        <v>98</v>
      </c>
      <c r="B94" s="231"/>
      <c r="C94" s="203"/>
      <c r="D94" s="472"/>
      <c r="E94" s="204">
        <f>SUM(B94:D94)</f>
        <v>0</v>
      </c>
      <c r="F94" s="203"/>
      <c r="G94" s="203"/>
      <c r="H94" s="203">
        <v>400000</v>
      </c>
      <c r="I94" s="204">
        <f>SUM(F94:H94)</f>
        <v>400000</v>
      </c>
      <c r="J94" s="205"/>
      <c r="K94" s="203"/>
      <c r="L94" s="203"/>
      <c r="M94" s="206">
        <f>SUM(J94:L94)</f>
        <v>0</v>
      </c>
      <c r="N94" s="240">
        <f>318800+81200</f>
        <v>400000</v>
      </c>
      <c r="O94" s="240"/>
      <c r="P94" s="240"/>
      <c r="Q94" s="206">
        <f>SUM(N94:P94)-400000</f>
        <v>0</v>
      </c>
      <c r="R94" s="215"/>
      <c r="S94" s="215">
        <f>E94+I94</f>
        <v>400000</v>
      </c>
      <c r="T94" s="215">
        <v>0</v>
      </c>
      <c r="U94" s="215">
        <v>0</v>
      </c>
      <c r="V94" s="216">
        <v>0</v>
      </c>
    </row>
    <row r="95" spans="1:27" ht="21">
      <c r="A95" s="239"/>
      <c r="B95" s="231"/>
      <c r="C95" s="203"/>
      <c r="D95" s="472"/>
      <c r="E95" s="204"/>
      <c r="F95" s="203"/>
      <c r="G95" s="203"/>
      <c r="H95" s="203"/>
      <c r="I95" s="204"/>
      <c r="J95" s="205"/>
      <c r="K95" s="203"/>
      <c r="L95" s="203"/>
      <c r="M95" s="206"/>
      <c r="N95" s="240"/>
      <c r="O95" s="240"/>
      <c r="P95" s="240"/>
      <c r="Q95" s="206"/>
      <c r="R95" s="215"/>
      <c r="S95" s="215"/>
      <c r="T95" s="215"/>
      <c r="U95" s="215"/>
      <c r="V95" s="216"/>
    </row>
    <row r="96" spans="1:27" ht="21">
      <c r="A96" s="237" t="s">
        <v>33</v>
      </c>
      <c r="B96" s="253">
        <f>B27+B56+B61+B79+B87+B92</f>
        <v>329115.06</v>
      </c>
      <c r="C96" s="253">
        <f t="shared" ref="C96:T96" si="42">C27+C56+C61+C79+C87+C92</f>
        <v>1669975.4400000002</v>
      </c>
      <c r="D96" s="484">
        <f>D27+D56+D61+D79+D87+D92</f>
        <v>723616.22</v>
      </c>
      <c r="E96" s="253">
        <f>E27+E56+E61+E79+E87+E92</f>
        <v>2722706.7199999997</v>
      </c>
      <c r="F96" s="253">
        <f t="shared" si="42"/>
        <v>66667.92</v>
      </c>
      <c r="G96" s="253">
        <f>G27+G56+G61+G79+G87+G92</f>
        <v>926713.3</v>
      </c>
      <c r="H96" s="253">
        <f t="shared" si="42"/>
        <v>938458.48</v>
      </c>
      <c r="I96" s="253">
        <f>I27+I56+I61+I79+I87+I92</f>
        <v>1931839.7000000002</v>
      </c>
      <c r="J96" s="257">
        <f>J27+J56+J61+J79+J87+J92</f>
        <v>1188732.9500000002</v>
      </c>
      <c r="K96" s="253">
        <f>K27+K56+K61+K79+K87+K92</f>
        <v>1167905.6299999999</v>
      </c>
      <c r="L96" s="253">
        <f t="shared" si="42"/>
        <v>337623.67</v>
      </c>
      <c r="M96" s="257">
        <f t="shared" si="42"/>
        <v>2694262.25</v>
      </c>
      <c r="N96" s="257">
        <f>N27+N56+N61+N79+N87+N92</f>
        <v>1381775.62</v>
      </c>
      <c r="O96" s="257">
        <f>O27+O56+O61+O79+O87+O92</f>
        <v>586864.07000000007</v>
      </c>
      <c r="P96" s="257">
        <f t="shared" si="42"/>
        <v>1584564.16</v>
      </c>
      <c r="Q96" s="257">
        <f t="shared" si="42"/>
        <v>3153203.8499999996</v>
      </c>
      <c r="R96" s="215">
        <f>R27+R56+R61+R79+R87+R92</f>
        <v>2722706.7199999997</v>
      </c>
      <c r="S96" s="215">
        <f t="shared" si="42"/>
        <v>4654546.42</v>
      </c>
      <c r="T96" s="215">
        <f t="shared" si="42"/>
        <v>6948808.6699999999</v>
      </c>
      <c r="U96" s="215">
        <f>U27+U56+U61+U79+U87+U92</f>
        <v>10102012.52</v>
      </c>
      <c r="V96" s="220">
        <f>V92+V87+V79+V61+V56+V27</f>
        <v>11601262</v>
      </c>
    </row>
    <row r="97" spans="1:27" s="9" customFormat="1" ht="21">
      <c r="A97" s="237" t="s">
        <v>125</v>
      </c>
      <c r="B97" s="244">
        <f t="shared" ref="B97:Q97" si="43">SUM(B98:B105)</f>
        <v>1480584.92</v>
      </c>
      <c r="C97" s="244">
        <f t="shared" si="43"/>
        <v>396154.48000000004</v>
      </c>
      <c r="D97" s="485">
        <f>SUM(D98:D105)</f>
        <v>619051.71</v>
      </c>
      <c r="E97" s="244">
        <f>D97</f>
        <v>619051.71</v>
      </c>
      <c r="F97" s="244">
        <f t="shared" si="43"/>
        <v>1126926.3199999998</v>
      </c>
      <c r="G97" s="244">
        <f>SUM(G98:G105)</f>
        <v>828042.53</v>
      </c>
      <c r="H97" s="244">
        <f t="shared" si="43"/>
        <v>931161.87</v>
      </c>
      <c r="I97" s="244">
        <f t="shared" si="43"/>
        <v>931161.87</v>
      </c>
      <c r="J97" s="206">
        <f>SUM(J98:J105)</f>
        <v>450973.24</v>
      </c>
      <c r="K97" s="10">
        <f t="shared" si="43"/>
        <v>746791.54</v>
      </c>
      <c r="L97" s="10">
        <f>SUM(L98:L105)</f>
        <v>1081101.75</v>
      </c>
      <c r="M97" s="31">
        <f t="shared" si="43"/>
        <v>1081101.75</v>
      </c>
      <c r="N97" s="31">
        <f>SUM(N98:N105)</f>
        <v>956723.78999999992</v>
      </c>
      <c r="O97" s="31">
        <f>SUM(O98:O105)</f>
        <v>1063525.1599999999</v>
      </c>
      <c r="P97" s="31">
        <f>SUM(P98:P105)</f>
        <v>1819973.4500000002</v>
      </c>
      <c r="Q97" s="31">
        <f t="shared" si="43"/>
        <v>1819973.4500000002</v>
      </c>
      <c r="R97" s="215">
        <f t="shared" si="36"/>
        <v>619051.71</v>
      </c>
      <c r="S97" s="215">
        <f>I97</f>
        <v>931161.87</v>
      </c>
      <c r="T97" s="215">
        <f>M97</f>
        <v>1081101.75</v>
      </c>
      <c r="U97" s="43">
        <f t="shared" ref="U97:U105" si="44">P97</f>
        <v>1819973.4500000002</v>
      </c>
      <c r="V97" s="201"/>
      <c r="AA97" s="399"/>
    </row>
    <row r="98" spans="1:27" ht="21">
      <c r="A98" s="239" t="s">
        <v>74</v>
      </c>
      <c r="B98" s="231">
        <v>773640.84</v>
      </c>
      <c r="C98" s="203">
        <v>642944.82999999996</v>
      </c>
      <c r="D98" s="486">
        <v>421483.18</v>
      </c>
      <c r="E98" s="244">
        <f t="shared" ref="E98:E105" si="45">D98</f>
        <v>421483.18</v>
      </c>
      <c r="F98" s="203">
        <v>731366.97</v>
      </c>
      <c r="G98" s="203">
        <v>315085.12</v>
      </c>
      <c r="H98" s="203">
        <v>578367.09</v>
      </c>
      <c r="I98" s="204">
        <f t="shared" ref="I98:I105" si="46">H98</f>
        <v>578367.09</v>
      </c>
      <c r="J98" s="107">
        <v>232531.69</v>
      </c>
      <c r="K98" s="5">
        <v>458241.74</v>
      </c>
      <c r="L98" s="5">
        <v>718770.67</v>
      </c>
      <c r="M98" s="31">
        <f t="shared" ref="M98:M104" si="47">L98</f>
        <v>718770.67</v>
      </c>
      <c r="N98" s="107">
        <v>233476.82</v>
      </c>
      <c r="O98" s="107">
        <v>469088.29</v>
      </c>
      <c r="P98" s="107">
        <v>836346.77</v>
      </c>
      <c r="Q98" s="31">
        <f t="shared" ref="Q98:Q105" si="48">P98</f>
        <v>836346.77</v>
      </c>
      <c r="R98" s="215">
        <f t="shared" si="36"/>
        <v>421483.18</v>
      </c>
      <c r="S98" s="215">
        <f>I98</f>
        <v>578367.09</v>
      </c>
      <c r="T98" s="215">
        <f t="shared" ref="T98:T105" si="49">M98</f>
        <v>718770.67</v>
      </c>
      <c r="U98" s="43">
        <f t="shared" si="44"/>
        <v>836346.77</v>
      </c>
      <c r="V98" s="200"/>
    </row>
    <row r="99" spans="1:27" ht="21">
      <c r="A99" s="239" t="s">
        <v>141</v>
      </c>
      <c r="B99" s="231">
        <v>100000</v>
      </c>
      <c r="C99" s="459">
        <v>0</v>
      </c>
      <c r="D99" s="486">
        <v>0</v>
      </c>
      <c r="E99" s="244">
        <f t="shared" si="45"/>
        <v>0</v>
      </c>
      <c r="F99" s="203">
        <f>30930+54190+35700+42350+30000</f>
        <v>193170</v>
      </c>
      <c r="G99" s="203">
        <f>10000+46500+19550+114570</f>
        <v>190620</v>
      </c>
      <c r="H99" s="203"/>
      <c r="I99" s="204">
        <f t="shared" si="46"/>
        <v>0</v>
      </c>
      <c r="J99" s="107">
        <v>8000</v>
      </c>
      <c r="K99" s="5">
        <v>0</v>
      </c>
      <c r="L99" s="5">
        <v>0</v>
      </c>
      <c r="M99" s="31">
        <f t="shared" si="47"/>
        <v>0</v>
      </c>
      <c r="N99" s="107">
        <v>6500</v>
      </c>
      <c r="O99" s="107"/>
      <c r="P99" s="107">
        <v>7000</v>
      </c>
      <c r="Q99" s="31">
        <f t="shared" si="48"/>
        <v>7000</v>
      </c>
      <c r="R99" s="215">
        <f>E99</f>
        <v>0</v>
      </c>
      <c r="S99" s="215">
        <f>F99</f>
        <v>193170</v>
      </c>
      <c r="T99" s="215">
        <f t="shared" si="49"/>
        <v>0</v>
      </c>
      <c r="U99" s="43">
        <f t="shared" si="44"/>
        <v>7000</v>
      </c>
      <c r="V99" s="200"/>
    </row>
    <row r="100" spans="1:27" ht="21">
      <c r="A100" s="239" t="s">
        <v>140</v>
      </c>
      <c r="B100" s="210">
        <v>-17100</v>
      </c>
      <c r="C100" s="459">
        <f>-59586.03-170245.8-37652-184510.6</f>
        <v>-451994.42999999993</v>
      </c>
      <c r="D100" s="486">
        <v>0</v>
      </c>
      <c r="E100" s="244">
        <f t="shared" si="45"/>
        <v>0</v>
      </c>
      <c r="F100" s="203">
        <f>-500-76225</f>
        <v>-76725</v>
      </c>
      <c r="G100" s="203">
        <v>0</v>
      </c>
      <c r="H100" s="203">
        <f>-35107.45-400000</f>
        <v>-435107.45</v>
      </c>
      <c r="I100" s="204">
        <f t="shared" si="46"/>
        <v>-435107.45</v>
      </c>
      <c r="J100" s="107">
        <v>-2200</v>
      </c>
      <c r="K100" s="510">
        <f>-80793.79</f>
        <v>-80793.789999999994</v>
      </c>
      <c r="L100" s="5">
        <v>0</v>
      </c>
      <c r="M100" s="31">
        <f t="shared" si="47"/>
        <v>0</v>
      </c>
      <c r="N100" s="107"/>
      <c r="O100" s="107"/>
      <c r="P100" s="107">
        <f>-74109.77-172923.73-309551.2</f>
        <v>-556584.69999999995</v>
      </c>
      <c r="Q100" s="31">
        <f t="shared" si="48"/>
        <v>-556584.69999999995</v>
      </c>
      <c r="R100" s="215">
        <f>E100</f>
        <v>0</v>
      </c>
      <c r="S100" s="215">
        <f>F100</f>
        <v>-76725</v>
      </c>
      <c r="T100" s="215">
        <f t="shared" si="49"/>
        <v>0</v>
      </c>
      <c r="U100" s="43">
        <f t="shared" si="44"/>
        <v>-556584.69999999995</v>
      </c>
      <c r="V100" s="200"/>
    </row>
    <row r="101" spans="1:27" ht="21">
      <c r="A101" s="239" t="s">
        <v>6</v>
      </c>
      <c r="B101" s="231">
        <f>32278.33+3050+17100</f>
        <v>52428.33</v>
      </c>
      <c r="C101" s="203">
        <f>B101+C7-17100</f>
        <v>44288.33</v>
      </c>
      <c r="D101" s="486">
        <v>8060.66</v>
      </c>
      <c r="E101" s="244">
        <f t="shared" si="45"/>
        <v>8060.66</v>
      </c>
      <c r="F101" s="203">
        <f>500-30930-54190-35700-42350-30000+134402.08+76225</f>
        <v>17957.079999999987</v>
      </c>
      <c r="G101" s="203">
        <f>69992.14+3250</f>
        <v>73242.14</v>
      </c>
      <c r="H101" s="203">
        <v>33504.160000000003</v>
      </c>
      <c r="I101" s="204">
        <f t="shared" si="46"/>
        <v>33504.160000000003</v>
      </c>
      <c r="J101" s="107">
        <f>43061.48+4850+1760</f>
        <v>49671.48</v>
      </c>
      <c r="K101" s="5">
        <f>64411.52</f>
        <v>64411.519999999997</v>
      </c>
      <c r="L101" s="5">
        <f>13527.01+2570</f>
        <v>16097.01</v>
      </c>
      <c r="M101" s="31">
        <f t="shared" si="47"/>
        <v>16097.01</v>
      </c>
      <c r="N101" s="107">
        <f>16372.9+2780</f>
        <v>19152.900000000001</v>
      </c>
      <c r="O101" s="107">
        <f>26504.8</f>
        <v>26504.799999999999</v>
      </c>
      <c r="P101" s="107">
        <v>16787.310000000001</v>
      </c>
      <c r="Q101" s="31">
        <f t="shared" si="48"/>
        <v>16787.310000000001</v>
      </c>
      <c r="R101" s="215">
        <f t="shared" si="36"/>
        <v>8060.66</v>
      </c>
      <c r="S101" s="215">
        <f>I101</f>
        <v>33504.160000000003</v>
      </c>
      <c r="T101" s="215">
        <f t="shared" si="49"/>
        <v>16097.01</v>
      </c>
      <c r="U101" s="43">
        <f t="shared" si="44"/>
        <v>16787.310000000001</v>
      </c>
      <c r="V101" s="200"/>
    </row>
    <row r="102" spans="1:27" ht="21">
      <c r="A102" s="239" t="s">
        <v>32</v>
      </c>
      <c r="B102" s="231">
        <v>571425.75</v>
      </c>
      <c r="C102" s="203">
        <f>159915.75</f>
        <v>159915.75</v>
      </c>
      <c r="D102" s="486">
        <f>186379.12</f>
        <v>186379.12</v>
      </c>
      <c r="E102" s="244">
        <f t="shared" si="45"/>
        <v>186379.12</v>
      </c>
      <c r="F102" s="203">
        <v>261157.27</v>
      </c>
      <c r="G102" s="203">
        <v>246095.27</v>
      </c>
      <c r="H102" s="203">
        <v>353398.07</v>
      </c>
      <c r="I102" s="204">
        <f t="shared" si="46"/>
        <v>353398.07</v>
      </c>
      <c r="J102" s="107">
        <v>272270.07</v>
      </c>
      <c r="K102" s="5">
        <v>296432.07</v>
      </c>
      <c r="L102" s="5">
        <v>343234.07</v>
      </c>
      <c r="M102" s="31">
        <f t="shared" si="47"/>
        <v>343234.07</v>
      </c>
      <c r="N102" s="107">
        <v>694094.07</v>
      </c>
      <c r="O102" s="107">
        <v>566432.06999999995</v>
      </c>
      <c r="P102" s="107">
        <v>1513424.07</v>
      </c>
      <c r="Q102" s="31">
        <f t="shared" si="48"/>
        <v>1513424.07</v>
      </c>
      <c r="R102" s="215">
        <f t="shared" si="36"/>
        <v>186379.12</v>
      </c>
      <c r="S102" s="215">
        <f>I102</f>
        <v>353398.07</v>
      </c>
      <c r="T102" s="215">
        <f t="shared" si="49"/>
        <v>343234.07</v>
      </c>
      <c r="U102" s="43">
        <f t="shared" si="44"/>
        <v>1513424.07</v>
      </c>
      <c r="V102" s="200"/>
    </row>
    <row r="103" spans="1:27" ht="21">
      <c r="A103" s="239" t="s">
        <v>142</v>
      </c>
      <c r="B103" s="231">
        <v>0</v>
      </c>
      <c r="C103" s="203">
        <v>0</v>
      </c>
      <c r="D103" s="486">
        <v>1128.75</v>
      </c>
      <c r="E103" s="244">
        <f t="shared" si="45"/>
        <v>1128.75</v>
      </c>
      <c r="F103" s="203">
        <v>0</v>
      </c>
      <c r="G103" s="203">
        <v>0</v>
      </c>
      <c r="H103" s="203">
        <v>400000</v>
      </c>
      <c r="I103" s="204">
        <f t="shared" si="46"/>
        <v>400000</v>
      </c>
      <c r="J103" s="107">
        <v>2200</v>
      </c>
      <c r="K103" s="5">
        <v>7500</v>
      </c>
      <c r="L103" s="5">
        <v>0</v>
      </c>
      <c r="M103" s="31">
        <f t="shared" si="47"/>
        <v>0</v>
      </c>
      <c r="N103" s="107">
        <v>0</v>
      </c>
      <c r="O103" s="107">
        <v>0</v>
      </c>
      <c r="P103" s="107">
        <v>0</v>
      </c>
      <c r="Q103" s="31">
        <f t="shared" si="48"/>
        <v>0</v>
      </c>
      <c r="R103" s="215">
        <f>E103</f>
        <v>1128.75</v>
      </c>
      <c r="S103" s="215">
        <f>F103</f>
        <v>0</v>
      </c>
      <c r="T103" s="215">
        <f t="shared" si="49"/>
        <v>0</v>
      </c>
      <c r="U103" s="43">
        <f t="shared" si="44"/>
        <v>0</v>
      </c>
      <c r="V103" s="200"/>
    </row>
    <row r="104" spans="1:27" ht="21">
      <c r="A104" s="239" t="s">
        <v>143</v>
      </c>
      <c r="B104" s="231">
        <v>0</v>
      </c>
      <c r="C104" s="203">
        <v>0</v>
      </c>
      <c r="D104" s="486">
        <v>0</v>
      </c>
      <c r="E104" s="244">
        <f t="shared" si="45"/>
        <v>0</v>
      </c>
      <c r="F104" s="203">
        <v>0</v>
      </c>
      <c r="G104" s="203">
        <v>0</v>
      </c>
      <c r="H104" s="203">
        <v>0</v>
      </c>
      <c r="I104" s="204">
        <f t="shared" si="46"/>
        <v>0</v>
      </c>
      <c r="J104" s="107">
        <v>-112500</v>
      </c>
      <c r="K104" s="5">
        <v>0</v>
      </c>
      <c r="L104" s="5">
        <v>0</v>
      </c>
      <c r="M104" s="31">
        <f t="shared" si="47"/>
        <v>0</v>
      </c>
      <c r="N104" s="107">
        <v>0</v>
      </c>
      <c r="O104" s="107">
        <v>0</v>
      </c>
      <c r="P104" s="107">
        <v>0</v>
      </c>
      <c r="Q104" s="31">
        <f t="shared" si="48"/>
        <v>0</v>
      </c>
      <c r="R104" s="215">
        <f>E104</f>
        <v>0</v>
      </c>
      <c r="S104" s="215">
        <v>400000</v>
      </c>
      <c r="T104" s="215">
        <f t="shared" si="49"/>
        <v>0</v>
      </c>
      <c r="U104" s="43">
        <f t="shared" si="44"/>
        <v>0</v>
      </c>
      <c r="V104" s="200"/>
    </row>
    <row r="105" spans="1:27" ht="21">
      <c r="A105" s="239" t="s">
        <v>123</v>
      </c>
      <c r="B105" s="231">
        <v>190</v>
      </c>
      <c r="C105" s="203">
        <v>1000</v>
      </c>
      <c r="D105" s="486">
        <v>2000</v>
      </c>
      <c r="E105" s="244">
        <f t="shared" si="45"/>
        <v>2000</v>
      </c>
      <c r="F105" s="203">
        <v>0</v>
      </c>
      <c r="G105" s="203">
        <v>3000</v>
      </c>
      <c r="H105" s="203">
        <v>1000</v>
      </c>
      <c r="I105" s="204">
        <f t="shared" si="46"/>
        <v>1000</v>
      </c>
      <c r="J105" s="107">
        <v>1000</v>
      </c>
      <c r="K105" s="5">
        <v>1000</v>
      </c>
      <c r="L105" s="5">
        <v>3000</v>
      </c>
      <c r="M105" s="31">
        <f>L105</f>
        <v>3000</v>
      </c>
      <c r="N105" s="107">
        <v>3500</v>
      </c>
      <c r="O105" s="107">
        <v>1500</v>
      </c>
      <c r="P105" s="107">
        <v>3000</v>
      </c>
      <c r="Q105" s="31">
        <f t="shared" si="48"/>
        <v>3000</v>
      </c>
      <c r="R105" s="215">
        <f t="shared" si="36"/>
        <v>2000</v>
      </c>
      <c r="S105" s="215">
        <f>I105</f>
        <v>1000</v>
      </c>
      <c r="T105" s="215">
        <f t="shared" si="49"/>
        <v>3000</v>
      </c>
      <c r="U105" s="43">
        <f t="shared" si="44"/>
        <v>3000</v>
      </c>
      <c r="V105" s="200"/>
    </row>
    <row r="106" spans="1:27" ht="21">
      <c r="A106" s="262" t="s">
        <v>34</v>
      </c>
      <c r="B106" s="263"/>
      <c r="C106" s="263"/>
      <c r="D106" s="487"/>
      <c r="E106" s="263"/>
      <c r="F106" s="263"/>
      <c r="G106" s="263"/>
      <c r="H106" s="263"/>
      <c r="I106" s="263"/>
      <c r="J106" s="4"/>
      <c r="K106" s="1"/>
      <c r="L106" s="1"/>
      <c r="M106" s="4"/>
      <c r="N106" s="107"/>
      <c r="O106" s="4"/>
      <c r="P106" s="4"/>
      <c r="Q106" s="4"/>
      <c r="R106" s="215"/>
      <c r="S106" s="215"/>
      <c r="T106" s="215"/>
      <c r="U106" s="43"/>
      <c r="V106" s="200"/>
      <c r="X106" s="3"/>
    </row>
    <row r="107" spans="1:27" ht="21">
      <c r="A107" s="264" t="s">
        <v>162</v>
      </c>
      <c r="B107" s="265">
        <f t="shared" ref="B107:Q107" si="50">B25</f>
        <v>1809699.98</v>
      </c>
      <c r="C107" s="265">
        <f t="shared" si="50"/>
        <v>2066129.9199999999</v>
      </c>
      <c r="D107" s="488">
        <f t="shared" si="50"/>
        <v>1342667.9300000002</v>
      </c>
      <c r="E107" s="250">
        <f t="shared" si="50"/>
        <v>3341758.4299999997</v>
      </c>
      <c r="F107" s="265">
        <f t="shared" si="50"/>
        <v>1193594.24</v>
      </c>
      <c r="G107" s="265">
        <f t="shared" si="50"/>
        <v>1754755.83</v>
      </c>
      <c r="H107" s="265">
        <f t="shared" si="50"/>
        <v>1469620.3499999999</v>
      </c>
      <c r="I107" s="266">
        <f t="shared" si="50"/>
        <v>2463001.5700000003</v>
      </c>
      <c r="J107" s="57">
        <f t="shared" si="50"/>
        <v>1639706.19</v>
      </c>
      <c r="K107" s="342">
        <f t="shared" si="50"/>
        <v>1914697.1700000002</v>
      </c>
      <c r="L107" s="342">
        <f t="shared" si="50"/>
        <v>1418725.4200000002</v>
      </c>
      <c r="M107" s="57">
        <f t="shared" si="50"/>
        <v>3775364</v>
      </c>
      <c r="N107" s="342">
        <f t="shared" si="50"/>
        <v>1938499.4100000001</v>
      </c>
      <c r="O107" s="342">
        <f t="shared" si="50"/>
        <v>1640389.23</v>
      </c>
      <c r="P107" s="342">
        <f t="shared" si="50"/>
        <v>3408597.61</v>
      </c>
      <c r="Q107" s="57">
        <f t="shared" si="50"/>
        <v>4967237.3</v>
      </c>
      <c r="R107" s="230">
        <f>R25</f>
        <v>3341758.4299999997</v>
      </c>
      <c r="S107" s="230">
        <f>S25</f>
        <v>5185708.290000001</v>
      </c>
      <c r="T107" s="230">
        <f>T25</f>
        <v>8029910.4200000009</v>
      </c>
      <c r="U107" s="109">
        <f>U25</f>
        <v>11916045.970000001</v>
      </c>
      <c r="V107" s="200">
        <f>V25</f>
        <v>13152870.76</v>
      </c>
    </row>
    <row r="108" spans="1:27" ht="21">
      <c r="A108" s="242" t="s">
        <v>35</v>
      </c>
      <c r="B108" s="240">
        <f>B80+B83+B84</f>
        <v>150</v>
      </c>
      <c r="C108" s="240">
        <f>C80+C83+C84</f>
        <v>461510</v>
      </c>
      <c r="D108" s="482">
        <f>D80+D83+D84</f>
        <v>78</v>
      </c>
      <c r="E108" s="204">
        <f>SUM(B108:D108)</f>
        <v>461738</v>
      </c>
      <c r="F108" s="240">
        <f>F80+F83+F84</f>
        <v>-49934</v>
      </c>
      <c r="G108" s="240">
        <f>G80+G83+G84</f>
        <v>45062</v>
      </c>
      <c r="H108" s="240">
        <f>H80+H83+H84</f>
        <v>128</v>
      </c>
      <c r="I108" s="267">
        <f>SUM(F108:H108)</f>
        <v>-4744</v>
      </c>
      <c r="J108" s="240">
        <f>J80+J83+J84</f>
        <v>601128</v>
      </c>
      <c r="K108" s="240">
        <f>K80+K83+K84</f>
        <v>528538</v>
      </c>
      <c r="L108" s="240">
        <f>L80+L83+L84</f>
        <v>48</v>
      </c>
      <c r="M108" s="8">
        <f>SUM(J108:L108)</f>
        <v>1129714</v>
      </c>
      <c r="N108" s="240">
        <f>N80+N83+N84</f>
        <v>116140</v>
      </c>
      <c r="O108" s="4">
        <f>O80+O84</f>
        <v>138162</v>
      </c>
      <c r="P108" s="4">
        <f>P80+P84</f>
        <v>54008</v>
      </c>
      <c r="Q108" s="7">
        <f>Q80+Q83+Q84</f>
        <v>308310</v>
      </c>
      <c r="R108" s="215">
        <f t="shared" si="36"/>
        <v>461738</v>
      </c>
      <c r="S108" s="215">
        <f>E108+I108</f>
        <v>456994</v>
      </c>
      <c r="T108" s="215">
        <f>E108+I108+M108</f>
        <v>1586708</v>
      </c>
      <c r="U108" s="43">
        <f>E108+I108+M108+Q108</f>
        <v>1895018</v>
      </c>
      <c r="V108" s="200">
        <f>V79</f>
        <v>2001200</v>
      </c>
    </row>
    <row r="109" spans="1:27" ht="42">
      <c r="A109" s="242" t="s">
        <v>36</v>
      </c>
      <c r="B109" s="268">
        <f>B96-B80-B81-B83</f>
        <v>328965.06</v>
      </c>
      <c r="C109" s="268">
        <f>C96-C80-C81-C84</f>
        <v>1208465.4400000002</v>
      </c>
      <c r="D109" s="489">
        <f>D96-D80-D81-D82-D83</f>
        <v>723538.22</v>
      </c>
      <c r="E109" s="250">
        <f>SUM(B109:D109)</f>
        <v>2260968.7200000002</v>
      </c>
      <c r="F109" s="268">
        <f>F96-F80-F81-F82-F84</f>
        <v>116601.92</v>
      </c>
      <c r="G109" s="268">
        <f>G96-G80-G81-G82-G83-G84</f>
        <v>881651.3</v>
      </c>
      <c r="H109" s="268">
        <f>H96-H80-H81--H82-H83</f>
        <v>938330.48</v>
      </c>
      <c r="I109" s="269">
        <f>SUM(F109:H109)</f>
        <v>1936583.7000000002</v>
      </c>
      <c r="J109" s="102">
        <f>J96-J80-J84</f>
        <v>587604.95000000019</v>
      </c>
      <c r="K109" s="102">
        <f>K96-K80-K84</f>
        <v>639367.62999999989</v>
      </c>
      <c r="L109" s="102">
        <f>L96-L80-L84</f>
        <v>337575.67</v>
      </c>
      <c r="M109" s="103">
        <f>SUM(J109:L109)</f>
        <v>1564548.25</v>
      </c>
      <c r="N109" s="102">
        <f>N96-N80-N84</f>
        <v>1265635.6200000001</v>
      </c>
      <c r="O109" s="102">
        <f>O96-O80-O84</f>
        <v>448702.07000000007</v>
      </c>
      <c r="P109" s="102">
        <f>P96-P80-P84</f>
        <v>1530556.16</v>
      </c>
      <c r="Q109" s="57">
        <f>Q96-Q108</f>
        <v>2844893.8499999996</v>
      </c>
      <c r="R109" s="230">
        <f t="shared" si="36"/>
        <v>2260968.7200000002</v>
      </c>
      <c r="S109" s="230">
        <f>E109+I109</f>
        <v>4197552.42</v>
      </c>
      <c r="T109" s="230">
        <f>E109+I109+M109</f>
        <v>5762100.6699999999</v>
      </c>
      <c r="U109" s="109">
        <f>E109+I109+M109+Q109-800000-456000</f>
        <v>7350994.5199999996</v>
      </c>
      <c r="V109" s="200">
        <f>V96-V108</f>
        <v>9600062</v>
      </c>
    </row>
    <row r="110" spans="1:27" ht="21">
      <c r="A110" s="264" t="s">
        <v>71</v>
      </c>
      <c r="B110" s="270">
        <f>B108+B109</f>
        <v>329115.06</v>
      </c>
      <c r="C110" s="270">
        <f>C108+C109</f>
        <v>1669975.4400000002</v>
      </c>
      <c r="D110" s="490">
        <f>D108+D109</f>
        <v>723616.22</v>
      </c>
      <c r="E110" s="204">
        <f>E108+E109</f>
        <v>2722706.72</v>
      </c>
      <c r="F110" s="270">
        <f t="shared" ref="F110:M110" si="51">F108+F109</f>
        <v>66667.92</v>
      </c>
      <c r="G110" s="270">
        <f t="shared" si="51"/>
        <v>926713.3</v>
      </c>
      <c r="H110" s="270">
        <f t="shared" si="51"/>
        <v>938458.48</v>
      </c>
      <c r="I110" s="271">
        <f t="shared" si="51"/>
        <v>1931839.7000000002</v>
      </c>
      <c r="J110" s="37">
        <f t="shared" si="51"/>
        <v>1188732.9500000002</v>
      </c>
      <c r="K110" s="6">
        <f t="shared" si="51"/>
        <v>1167905.6299999999</v>
      </c>
      <c r="L110" s="6">
        <f t="shared" si="51"/>
        <v>337623.67</v>
      </c>
      <c r="M110" s="37">
        <f t="shared" si="51"/>
        <v>2694262.25</v>
      </c>
      <c r="N110" s="6">
        <f>N108+N109</f>
        <v>1381775.62</v>
      </c>
      <c r="O110" s="6">
        <f>O108+O109</f>
        <v>586864.07000000007</v>
      </c>
      <c r="P110" s="4">
        <f>P108+P109</f>
        <v>1584564.16</v>
      </c>
      <c r="Q110" s="7">
        <f>Q108+Q109</f>
        <v>3153203.8499999996</v>
      </c>
      <c r="R110" s="215">
        <f t="shared" si="36"/>
        <v>2722706.72</v>
      </c>
      <c r="S110" s="215">
        <f>E110+I110</f>
        <v>4654546.42</v>
      </c>
      <c r="T110" s="215">
        <f>E110+I110+M110-400000</f>
        <v>6948808.6699999999</v>
      </c>
      <c r="U110" s="43">
        <f>E110+I110+M110+Q110-800000-456000</f>
        <v>9246012.5199999996</v>
      </c>
      <c r="V110" s="201">
        <f>V96</f>
        <v>11601262</v>
      </c>
    </row>
    <row r="111" spans="1:27" ht="21">
      <c r="A111" s="272" t="s">
        <v>29</v>
      </c>
      <c r="B111" s="273">
        <f>B107-B97-B110</f>
        <v>0</v>
      </c>
      <c r="C111" s="273">
        <f t="shared" ref="C111:S111" si="52">C107-C97-C110</f>
        <v>0</v>
      </c>
      <c r="D111" s="491">
        <f>D107-D97-D110</f>
        <v>0</v>
      </c>
      <c r="E111" s="274">
        <f t="shared" si="52"/>
        <v>0</v>
      </c>
      <c r="F111" s="273">
        <f t="shared" si="52"/>
        <v>1.6007106751203537E-10</v>
      </c>
      <c r="G111" s="273">
        <f>G107-G97-G110</f>
        <v>0</v>
      </c>
      <c r="H111" s="273">
        <f>H107-H97-H110</f>
        <v>-400000.00000000012</v>
      </c>
      <c r="I111" s="275">
        <f t="shared" si="52"/>
        <v>-400000</v>
      </c>
      <c r="J111" s="273">
        <f>J107-J97-J110</f>
        <v>0</v>
      </c>
      <c r="K111" s="36">
        <f>K107-K97-K110</f>
        <v>0</v>
      </c>
      <c r="L111" s="36">
        <f>L107-L97-L110</f>
        <v>0</v>
      </c>
      <c r="M111" s="64">
        <f t="shared" si="52"/>
        <v>0</v>
      </c>
      <c r="N111" s="36">
        <f>N107-N97-N110</f>
        <v>-399999.99999999988</v>
      </c>
      <c r="O111" s="36">
        <f>O107-O97-O110</f>
        <v>-10000</v>
      </c>
      <c r="P111" s="36">
        <f>P107-P97-P110</f>
        <v>4059.9999999997672</v>
      </c>
      <c r="Q111" s="64">
        <f t="shared" si="52"/>
        <v>-5940</v>
      </c>
      <c r="R111" s="64">
        <f t="shared" si="52"/>
        <v>0</v>
      </c>
      <c r="S111" s="64">
        <f t="shared" si="52"/>
        <v>-399999.99999999907</v>
      </c>
      <c r="T111" s="64">
        <f>T107-T97-T110</f>
        <v>0</v>
      </c>
      <c r="U111" s="64">
        <f>U107-U97-U110</f>
        <v>850060</v>
      </c>
      <c r="V111" s="200"/>
    </row>
    <row r="112" spans="1:27">
      <c r="A112" s="22"/>
      <c r="B112" s="78"/>
      <c r="C112" s="78"/>
      <c r="D112" s="492"/>
      <c r="E112" s="1"/>
      <c r="F112" s="4"/>
      <c r="G112" s="1"/>
      <c r="H112" s="1"/>
      <c r="I112" s="4"/>
      <c r="J112" s="4"/>
      <c r="K112" s="1"/>
      <c r="L112" s="1"/>
      <c r="M112" s="4"/>
      <c r="N112" s="4"/>
      <c r="O112" s="4"/>
      <c r="P112" s="4"/>
      <c r="Q112" s="7"/>
      <c r="R112" s="4"/>
      <c r="S112" s="4"/>
      <c r="T112" s="4"/>
      <c r="U112" s="4"/>
      <c r="V112" s="200"/>
    </row>
    <row r="113" spans="1:21">
      <c r="A113" s="179"/>
      <c r="B113" s="180"/>
      <c r="C113" s="181"/>
      <c r="D113" s="493"/>
      <c r="F113" s="60"/>
      <c r="I113" s="2"/>
      <c r="K113" s="60"/>
      <c r="N113" s="3">
        <f>400000+N111</f>
        <v>0</v>
      </c>
      <c r="O113" s="3"/>
      <c r="Q113" s="2"/>
      <c r="S113" s="11"/>
    </row>
    <row r="114" spans="1:21">
      <c r="A114" s="21"/>
      <c r="B114" s="182"/>
      <c r="C114" s="183"/>
      <c r="D114" s="493"/>
      <c r="E114" s="60"/>
      <c r="H114" s="60"/>
      <c r="I114" s="60"/>
      <c r="K114" s="60"/>
      <c r="L114" s="60"/>
      <c r="N114" s="3">
        <f>19000+3000+25000+5000</f>
        <v>52000</v>
      </c>
      <c r="O114" s="3">
        <f>92940+19275+3340+78720</f>
        <v>194275</v>
      </c>
      <c r="P114" s="2">
        <f>O101-52029.38</f>
        <v>-25524.579999999998</v>
      </c>
      <c r="U114" s="3"/>
    </row>
    <row r="115" spans="1:21">
      <c r="A115" s="21"/>
      <c r="B115" s="183"/>
      <c r="C115" s="180"/>
      <c r="D115" s="497">
        <f>D101-8060.66</f>
        <v>0</v>
      </c>
      <c r="H115">
        <v>400000</v>
      </c>
      <c r="N115" s="3">
        <f>6500+4000+4100+40900+22800</f>
        <v>78300</v>
      </c>
      <c r="O115" s="3">
        <f>43700+18165+500+3020+100+11000</f>
        <v>76485</v>
      </c>
      <c r="P115" s="2">
        <f>P111-P114</f>
        <v>29584.579999999765</v>
      </c>
      <c r="Q115" s="2"/>
      <c r="U115" s="3"/>
    </row>
    <row r="116" spans="1:21">
      <c r="A116" s="20">
        <f>80000+65500-25000+7200-3000-1000-70000-20000-25000+2500-1500</f>
        <v>9700</v>
      </c>
      <c r="D116" s="494"/>
      <c r="N116" s="3">
        <f>15000+20000+7000+7000+7000+7000+4000+15000</f>
        <v>82000</v>
      </c>
      <c r="O116" s="3">
        <f>25250+16070+2840+100</f>
        <v>44260</v>
      </c>
    </row>
    <row r="117" spans="1:21">
      <c r="A117" s="20">
        <f>139000-100000-32000-7000</f>
        <v>0</v>
      </c>
      <c r="H117">
        <f>35670-2350-33620</f>
        <v>-300</v>
      </c>
      <c r="N117" s="3"/>
      <c r="O117" s="3">
        <f>39170+15990+2320+5980</f>
        <v>63460</v>
      </c>
      <c r="U117" s="2"/>
    </row>
    <row r="118" spans="1:21" ht="21">
      <c r="A118" s="20">
        <f>120000+98550-70000-3000-4000-2050-57000-28500-5000-49000+7000+6100</f>
        <v>13100</v>
      </c>
      <c r="H118" s="203">
        <v>116175</v>
      </c>
      <c r="L118">
        <f>8320+18400+2740+8560</f>
        <v>38020</v>
      </c>
      <c r="N118" s="3"/>
      <c r="O118" s="4">
        <f>88455+100000+50000</f>
        <v>238455</v>
      </c>
      <c r="Q118">
        <f>15000+10000+5000+20000+30000+20300+4200+2000+7000+6000+4000+1500</f>
        <v>125000</v>
      </c>
      <c r="U118" s="2"/>
    </row>
    <row r="119" spans="1:21">
      <c r="A119" s="20">
        <f>120000-20000-4200-2000-9600-27000-14000-8000</f>
        <v>35200</v>
      </c>
      <c r="L119">
        <f>62000+18030+3230+8100+500</f>
        <v>91860</v>
      </c>
      <c r="N119" s="3"/>
      <c r="O119" s="3"/>
      <c r="Q119">
        <f>30000+7000+5000+22200+16000+2000+1500+5000+7000+15000+4500+300</f>
        <v>115500</v>
      </c>
    </row>
    <row r="120" spans="1:21">
      <c r="M120" s="3">
        <f>40900-10000-2000-27200</f>
        <v>1700</v>
      </c>
      <c r="N120" s="3"/>
      <c r="O120" s="3">
        <f>O118-O111</f>
        <v>248455</v>
      </c>
      <c r="Q120">
        <f>22200+16000+2000+1500+5000</f>
        <v>46700</v>
      </c>
    </row>
    <row r="121" spans="1:21">
      <c r="A121" s="20">
        <f>10000+38000+15000+2000</f>
        <v>65000</v>
      </c>
      <c r="B121" s="3">
        <f>5000+9000+2000+15000+2000+3000</f>
        <v>36000</v>
      </c>
      <c r="N121" s="3"/>
      <c r="O121" s="3"/>
      <c r="Q121">
        <f>6500+2700+10000+2200+10000+20000+8000</f>
        <v>59400</v>
      </c>
    </row>
    <row r="122" spans="1:21">
      <c r="B122" s="3">
        <f>9000+3000+3000+2500</f>
        <v>17500</v>
      </c>
      <c r="N122" s="3"/>
      <c r="O122" s="3"/>
      <c r="Q122">
        <v>-59400</v>
      </c>
    </row>
    <row r="123" spans="1:21">
      <c r="B123" s="3"/>
      <c r="N123" s="3"/>
      <c r="O123" s="3">
        <f>88455+150000</f>
        <v>238455</v>
      </c>
      <c r="Q123">
        <f>5000+5000+5000+1800+6000+25000+7500+6000</f>
        <v>61300</v>
      </c>
    </row>
    <row r="124" spans="1:21">
      <c r="A124" s="23"/>
      <c r="B124" s="194"/>
      <c r="C124" s="11"/>
      <c r="N124" s="3"/>
      <c r="O124" s="3"/>
    </row>
    <row r="125" spans="1:21">
      <c r="A125" s="23"/>
      <c r="B125" s="194"/>
      <c r="C125" s="11"/>
      <c r="N125" s="3"/>
      <c r="O125" s="3"/>
    </row>
    <row r="126" spans="1:21">
      <c r="A126" s="23"/>
      <c r="B126" s="194"/>
      <c r="C126" s="11"/>
      <c r="D126" s="471"/>
      <c r="F126" s="3"/>
      <c r="N126" s="3"/>
      <c r="O126" s="3"/>
    </row>
    <row r="127" spans="1:21">
      <c r="A127" s="23"/>
      <c r="B127" s="194"/>
      <c r="C127" s="11"/>
      <c r="D127" s="471">
        <f>45883.73+4100</f>
        <v>49983.73</v>
      </c>
      <c r="N127" s="3"/>
      <c r="O127" s="3"/>
    </row>
    <row r="128" spans="1:21">
      <c r="A128" s="23"/>
      <c r="B128" s="194"/>
      <c r="C128" s="11"/>
      <c r="D128" s="471">
        <f>D127+1950</f>
        <v>51933.73</v>
      </c>
      <c r="N128" s="3"/>
      <c r="O128" s="3"/>
    </row>
    <row r="129" spans="1:15">
      <c r="A129" s="23"/>
      <c r="B129" s="194"/>
      <c r="C129" s="11"/>
      <c r="D129" s="471">
        <f>3470+D128</f>
        <v>55403.73</v>
      </c>
      <c r="N129" s="3"/>
      <c r="O129" s="3"/>
    </row>
    <row r="130" spans="1:15">
      <c r="A130" s="23">
        <f>5000*358</f>
        <v>1790000</v>
      </c>
      <c r="B130" s="17"/>
      <c r="C130" s="11"/>
      <c r="D130" s="471">
        <f>4320+D129</f>
        <v>59723.73</v>
      </c>
      <c r="H130" s="11"/>
      <c r="N130" s="3"/>
      <c r="O130" s="3"/>
    </row>
    <row r="131" spans="1:15">
      <c r="A131" s="23"/>
      <c r="B131" s="17"/>
      <c r="C131" s="11"/>
      <c r="D131" s="471">
        <f>3210+D130</f>
        <v>62933.73</v>
      </c>
      <c r="F131" s="2"/>
      <c r="G131" s="3"/>
      <c r="H131" s="2"/>
      <c r="N131" s="3"/>
      <c r="O131" s="3"/>
    </row>
    <row r="132" spans="1:15">
      <c r="A132" s="23"/>
      <c r="B132" s="17"/>
      <c r="C132" s="11"/>
      <c r="D132" s="496">
        <f>86.7+D131</f>
        <v>63020.43</v>
      </c>
      <c r="F132" s="3"/>
      <c r="H132" s="11"/>
      <c r="N132" s="3"/>
      <c r="O132" s="3"/>
    </row>
    <row r="133" spans="1:15">
      <c r="A133" s="23"/>
      <c r="B133" s="17"/>
      <c r="C133" s="11"/>
      <c r="D133" s="496">
        <f>-8.67+D132</f>
        <v>63011.76</v>
      </c>
      <c r="N133" s="3"/>
      <c r="O133" s="3"/>
    </row>
    <row r="134" spans="1:15">
      <c r="A134" s="23"/>
      <c r="B134" s="17"/>
      <c r="C134" s="11"/>
      <c r="D134" s="496">
        <f>D133-75</f>
        <v>62936.76</v>
      </c>
      <c r="N134" s="3"/>
      <c r="O134" s="3"/>
    </row>
    <row r="135" spans="1:15">
      <c r="A135" s="23">
        <f>2000+3000+23750+3500+17000+15000+7000+7000+7000+2000+7000+7000+2000+25000+6000+2500+3000+5000+3200</f>
        <v>147950</v>
      </c>
      <c r="B135" s="17"/>
      <c r="C135" s="11"/>
      <c r="N135" s="3"/>
      <c r="O135" s="3"/>
    </row>
    <row r="136" spans="1:15">
      <c r="A136" s="23"/>
      <c r="B136" s="17"/>
      <c r="C136" s="11"/>
      <c r="N136" s="3"/>
      <c r="O136" s="3"/>
    </row>
    <row r="137" spans="1:15">
      <c r="A137" s="23"/>
      <c r="B137" s="17"/>
      <c r="C137" s="11"/>
      <c r="N137" s="3"/>
      <c r="O137" s="3"/>
    </row>
    <row r="138" spans="1:15">
      <c r="A138" s="23"/>
      <c r="B138" s="17"/>
      <c r="C138" s="11"/>
      <c r="F138" s="3"/>
      <c r="G138" s="2"/>
      <c r="N138" s="3"/>
      <c r="O138" s="2"/>
    </row>
    <row r="139" spans="1:15">
      <c r="A139" s="23"/>
      <c r="B139" s="17"/>
      <c r="C139" s="11"/>
      <c r="F139" s="2"/>
      <c r="N139" s="3"/>
    </row>
    <row r="140" spans="1:15">
      <c r="A140" s="23"/>
      <c r="B140" s="17"/>
      <c r="C140" s="11"/>
      <c r="N140" s="3"/>
    </row>
    <row r="141" spans="1:15">
      <c r="A141" s="23"/>
      <c r="B141" s="17"/>
      <c r="C141" s="11"/>
      <c r="N141" s="3"/>
    </row>
    <row r="142" spans="1:15">
      <c r="A142" s="23"/>
      <c r="B142" s="17"/>
      <c r="C142" s="11"/>
      <c r="N142" s="3"/>
    </row>
    <row r="143" spans="1:15">
      <c r="A143" s="23"/>
      <c r="B143" s="17"/>
      <c r="C143" s="11"/>
      <c r="N143" s="2"/>
    </row>
    <row r="144" spans="1:15">
      <c r="A144" s="23"/>
      <c r="B144" s="17"/>
      <c r="C144" s="11"/>
      <c r="O144" s="2"/>
    </row>
    <row r="145" spans="1:15">
      <c r="A145" s="23"/>
      <c r="B145" s="17"/>
      <c r="C145" s="11"/>
      <c r="N145" s="2"/>
      <c r="O145" s="2"/>
    </row>
    <row r="146" spans="1:15">
      <c r="A146" s="23"/>
      <c r="B146" s="17"/>
      <c r="C146" s="11"/>
      <c r="N146" s="11"/>
      <c r="O146" s="2"/>
    </row>
    <row r="147" spans="1:15">
      <c r="A147" s="23"/>
      <c r="B147" s="11"/>
      <c r="C147" s="11"/>
      <c r="N147" s="2"/>
      <c r="O147" s="11"/>
    </row>
    <row r="148" spans="1:15">
      <c r="A148" s="23"/>
      <c r="B148" s="11"/>
      <c r="C148" s="11"/>
    </row>
    <row r="149" spans="1:15">
      <c r="B149" s="17"/>
      <c r="C149" s="11"/>
    </row>
    <row r="150" spans="1:15">
      <c r="C150" s="11"/>
    </row>
    <row r="151" spans="1:15">
      <c r="C151" s="11"/>
    </row>
    <row r="152" spans="1:15">
      <c r="C152" s="11"/>
    </row>
    <row r="153" spans="1:15">
      <c r="C153" s="11"/>
    </row>
    <row r="154" spans="1:15">
      <c r="C154" s="11"/>
    </row>
  </sheetData>
  <pageMargins left="0.7" right="0.7" top="0.75" bottom="0.75" header="0.3" footer="0.3"/>
  <pageSetup scale="81" orientation="portrait" r:id="rId1"/>
  <colBreaks count="2" manualBreakCount="2">
    <brk id="17" max="133" man="1"/>
    <brk id="22" max="1048575" man="1"/>
  </colBreaks>
</worksheet>
</file>

<file path=xl/worksheets/sheet7.xml><?xml version="1.0" encoding="utf-8"?>
<worksheet xmlns="http://schemas.openxmlformats.org/spreadsheetml/2006/main" xmlns:r="http://schemas.openxmlformats.org/officeDocument/2006/relationships">
  <dimension ref="A1:J113"/>
  <sheetViews>
    <sheetView view="pageBreakPreview" zoomScaleSheetLayoutView="100" workbookViewId="0">
      <pane xSplit="2" ySplit="5" topLeftCell="C6" activePane="bottomRight" state="frozen"/>
      <selection pane="topRight" activeCell="C1" sqref="C1"/>
      <selection pane="bottomLeft" activeCell="A6" sqref="A6"/>
      <selection pane="bottomRight" activeCell="D7" sqref="D7:D113"/>
    </sheetView>
  </sheetViews>
  <sheetFormatPr defaultRowHeight="15"/>
  <cols>
    <col min="1" max="1" width="4.7109375" customWidth="1"/>
    <col min="2" max="2" width="49.28515625" customWidth="1"/>
    <col min="3" max="3" width="17" customWidth="1"/>
    <col min="4" max="4" width="16.85546875" customWidth="1"/>
    <col min="5" max="5" width="13.28515625" customWidth="1"/>
    <col min="6" max="6" width="17" style="3" customWidth="1"/>
    <col min="9" max="9" width="11.5703125" bestFit="1" customWidth="1"/>
  </cols>
  <sheetData>
    <row r="1" spans="1:10" ht="18" thickTop="1">
      <c r="A1" s="735" t="s">
        <v>30</v>
      </c>
      <c r="B1" s="736"/>
      <c r="C1" s="736"/>
      <c r="D1" s="736"/>
      <c r="E1" s="736"/>
      <c r="F1" s="737"/>
    </row>
    <row r="2" spans="1:10" ht="17.25">
      <c r="A2" s="738" t="s">
        <v>210</v>
      </c>
      <c r="B2" s="739"/>
      <c r="C2" s="739"/>
      <c r="D2" s="739"/>
      <c r="E2" s="739"/>
      <c r="F2" s="740"/>
    </row>
    <row r="3" spans="1:10" ht="17.25">
      <c r="A3" s="738" t="s">
        <v>211</v>
      </c>
      <c r="B3" s="739"/>
      <c r="C3" s="739"/>
      <c r="D3" s="739"/>
      <c r="E3" s="739"/>
      <c r="F3" s="740"/>
    </row>
    <row r="4" spans="1:10">
      <c r="A4" s="18"/>
      <c r="B4" s="56" t="s">
        <v>40</v>
      </c>
      <c r="C4" s="416"/>
      <c r="D4" s="417"/>
      <c r="E4" s="32"/>
      <c r="F4" s="554"/>
    </row>
    <row r="5" spans="1:10" ht="27.75" customHeight="1">
      <c r="A5" s="19"/>
      <c r="B5" s="56"/>
      <c r="C5" s="56" t="s">
        <v>90</v>
      </c>
      <c r="D5" s="58" t="s">
        <v>41</v>
      </c>
      <c r="E5" s="55" t="s">
        <v>68</v>
      </c>
      <c r="F5" s="553" t="s">
        <v>69</v>
      </c>
    </row>
    <row r="6" spans="1:10">
      <c r="A6" s="19">
        <v>6</v>
      </c>
      <c r="B6" s="24" t="str">
        <f>Details!B6</f>
        <v>Bank interest</v>
      </c>
      <c r="C6" s="4">
        <f>Details!C6</f>
        <v>32.06</v>
      </c>
      <c r="D6" s="35">
        <f>C6</f>
        <v>32.06</v>
      </c>
      <c r="E6" s="42">
        <f>D6/F6</f>
        <v>5.343333333333334E-2</v>
      </c>
      <c r="F6" s="46">
        <f>Details!W6</f>
        <v>600</v>
      </c>
      <c r="I6" s="2"/>
      <c r="J6" s="54"/>
    </row>
    <row r="7" spans="1:10">
      <c r="A7" s="19">
        <v>7</v>
      </c>
      <c r="B7" s="24" t="str">
        <f>Details!B7</f>
        <v>Benevolence</v>
      </c>
      <c r="C7" s="4">
        <f>Details!C7</f>
        <v>17170</v>
      </c>
      <c r="D7" s="35">
        <f t="shared" ref="D7:D70" si="0">C7</f>
        <v>17170</v>
      </c>
      <c r="E7" s="42">
        <f>D7/F7</f>
        <v>0.11446666666666666</v>
      </c>
      <c r="F7" s="46">
        <f>Details!W7</f>
        <v>150000</v>
      </c>
    </row>
    <row r="8" spans="1:10">
      <c r="A8" s="19">
        <v>8</v>
      </c>
      <c r="B8" s="24" t="str">
        <f>Details!B8</f>
        <v>Building (cash and kind)</v>
      </c>
      <c r="C8" s="4">
        <f>Details!C8</f>
        <v>8000</v>
      </c>
      <c r="D8" s="35">
        <f t="shared" si="0"/>
        <v>8000</v>
      </c>
      <c r="E8" s="42">
        <f>D8/F8</f>
        <v>4.0000000000000001E-3</v>
      </c>
      <c r="F8" s="46">
        <f>Details!W8</f>
        <v>2000000</v>
      </c>
    </row>
    <row r="9" spans="1:10">
      <c r="A9" s="19">
        <v>9</v>
      </c>
      <c r="B9" s="24" t="str">
        <f>Details!B9</f>
        <v>Designated offering towards borehole</v>
      </c>
      <c r="C9" s="4">
        <f>Details!C9</f>
        <v>0</v>
      </c>
      <c r="D9" s="35">
        <f t="shared" si="0"/>
        <v>0</v>
      </c>
      <c r="E9" s="42">
        <f>D9/F9</f>
        <v>0</v>
      </c>
      <c r="F9" s="46">
        <f>Details!W9</f>
        <v>100000</v>
      </c>
    </row>
    <row r="10" spans="1:10">
      <c r="A10" s="19">
        <v>10</v>
      </c>
      <c r="B10" s="24" t="str">
        <f>Details!B10</f>
        <v>Designated offering towards Praise Festival</v>
      </c>
      <c r="C10" s="4">
        <f>Details!C10</f>
        <v>0</v>
      </c>
      <c r="D10" s="35">
        <f t="shared" si="0"/>
        <v>0</v>
      </c>
      <c r="E10" s="42"/>
      <c r="F10" s="46">
        <f>Details!W10</f>
        <v>0</v>
      </c>
    </row>
    <row r="11" spans="1:10">
      <c r="A11" s="19">
        <v>11</v>
      </c>
      <c r="B11" s="24" t="str">
        <f>Details!B11</f>
        <v>Foreign Mission offering</v>
      </c>
      <c r="C11" s="4">
        <f>Details!C11</f>
        <v>0</v>
      </c>
      <c r="D11" s="35">
        <f t="shared" si="0"/>
        <v>0</v>
      </c>
      <c r="E11" s="42"/>
      <c r="F11" s="46">
        <f>Details!W11</f>
        <v>0</v>
      </c>
    </row>
    <row r="12" spans="1:10">
      <c r="A12" s="19">
        <v>12</v>
      </c>
      <c r="B12" s="24" t="str">
        <f>Details!B12</f>
        <v>Home Mission offering</v>
      </c>
      <c r="C12" s="4">
        <f>Details!C12</f>
        <v>0</v>
      </c>
      <c r="D12" s="35">
        <f t="shared" si="0"/>
        <v>0</v>
      </c>
      <c r="E12" s="42"/>
      <c r="F12" s="46">
        <f>Details!W12</f>
        <v>300000</v>
      </c>
    </row>
    <row r="13" spans="1:10">
      <c r="A13" s="19">
        <v>13</v>
      </c>
      <c r="B13" s="24" t="str">
        <f>Details!B14</f>
        <v>Designated - Teenagers' Church</v>
      </c>
      <c r="C13" s="4">
        <f>Details!C13</f>
        <v>0</v>
      </c>
      <c r="D13" s="35">
        <f t="shared" si="0"/>
        <v>0</v>
      </c>
      <c r="E13" s="42">
        <f>D13/F13</f>
        <v>0</v>
      </c>
      <c r="F13" s="46">
        <f>Details!W14</f>
        <v>50000</v>
      </c>
    </row>
    <row r="14" spans="1:10">
      <c r="A14" s="19">
        <v>14</v>
      </c>
      <c r="B14" s="24" t="str">
        <f>Details!B14</f>
        <v>Designated - Teenagers' Church</v>
      </c>
      <c r="C14" s="4">
        <f>Details!C14</f>
        <v>0</v>
      </c>
      <c r="D14" s="35">
        <f t="shared" si="0"/>
        <v>0</v>
      </c>
      <c r="E14" s="42"/>
      <c r="F14" s="46">
        <f>Details!W14</f>
        <v>50000</v>
      </c>
    </row>
    <row r="15" spans="1:10">
      <c r="A15" s="19">
        <v>15</v>
      </c>
      <c r="B15" s="24" t="str">
        <f>Details!B15</f>
        <v>Offering</v>
      </c>
      <c r="C15" s="4">
        <f>Details!C15</f>
        <v>112055</v>
      </c>
      <c r="D15" s="35">
        <f t="shared" si="0"/>
        <v>112055</v>
      </c>
      <c r="E15" s="42">
        <f>D15/F15</f>
        <v>0.112055</v>
      </c>
      <c r="F15" s="46">
        <f>Details!W15</f>
        <v>1000000</v>
      </c>
    </row>
    <row r="16" spans="1:10">
      <c r="A16" s="19">
        <v>16</v>
      </c>
      <c r="B16" s="24" t="str">
        <f>Details!B16</f>
        <v xml:space="preserve">Sunday School </v>
      </c>
      <c r="C16" s="4">
        <f>Details!C16</f>
        <v>23470</v>
      </c>
      <c r="D16" s="35">
        <f t="shared" si="0"/>
        <v>23470</v>
      </c>
      <c r="E16" s="42">
        <f>D16/F16</f>
        <v>0.13805882352941176</v>
      </c>
      <c r="F16" s="46">
        <f>Details!W16</f>
        <v>170000</v>
      </c>
    </row>
    <row r="17" spans="1:6">
      <c r="A17" s="19">
        <v>17</v>
      </c>
      <c r="B17" s="24" t="str">
        <f>Details!B17</f>
        <v>Thanksgiving</v>
      </c>
      <c r="C17" s="4">
        <f>Details!C17</f>
        <v>51090</v>
      </c>
      <c r="D17" s="35">
        <f t="shared" si="0"/>
        <v>51090</v>
      </c>
      <c r="E17" s="42">
        <f>D17/F17</f>
        <v>0.12772500000000001</v>
      </c>
      <c r="F17" s="46">
        <f>Details!W17</f>
        <v>400000</v>
      </c>
    </row>
    <row r="18" spans="1:6">
      <c r="A18" s="19">
        <v>18</v>
      </c>
      <c r="B18" s="24" t="str">
        <f>Details!B18</f>
        <v>Tithes</v>
      </c>
      <c r="C18" s="4">
        <f>Details!C18</f>
        <v>385170</v>
      </c>
      <c r="D18" s="35">
        <f t="shared" si="0"/>
        <v>385170</v>
      </c>
      <c r="E18" s="42">
        <f>D18/F18</f>
        <v>5.9256923076923075E-2</v>
      </c>
      <c r="F18" s="46">
        <f>Details!W18</f>
        <v>6500000</v>
      </c>
    </row>
    <row r="19" spans="1:6" s="9" customFormat="1">
      <c r="A19" s="19">
        <v>19</v>
      </c>
      <c r="B19" s="25" t="str">
        <f>Details!B19</f>
        <v>Total income this reporting period</v>
      </c>
      <c r="C19" s="7">
        <f>Details!C19</f>
        <v>596987.06000000006</v>
      </c>
      <c r="D19" s="50">
        <f t="shared" si="0"/>
        <v>596987.06000000006</v>
      </c>
      <c r="E19" s="94">
        <f>D19/F19</f>
        <v>5.5946906453245369E-2</v>
      </c>
      <c r="F19" s="261">
        <f>Details!W19</f>
        <v>10670600</v>
      </c>
    </row>
    <row r="20" spans="1:6">
      <c r="A20" s="19">
        <v>20</v>
      </c>
      <c r="B20" s="24" t="str">
        <f>Details!B20</f>
        <v>B/F from previous month/quarter: First Bank of Nigeria</v>
      </c>
      <c r="C20" s="24">
        <f>Details!C20</f>
        <v>286762.07</v>
      </c>
      <c r="D20" s="35">
        <f t="shared" si="0"/>
        <v>286762.07</v>
      </c>
      <c r="E20" s="42"/>
      <c r="F20" s="46">
        <v>286762.07</v>
      </c>
    </row>
    <row r="21" spans="1:6">
      <c r="A21" s="19">
        <v>21</v>
      </c>
      <c r="B21" s="24" t="str">
        <f>Details!B21</f>
        <v xml:space="preserve">                               Randalapha MFB</v>
      </c>
      <c r="C21" s="24">
        <f>Details!C21</f>
        <v>16787.310000000001</v>
      </c>
      <c r="D21" s="35">
        <f t="shared" si="0"/>
        <v>16787.310000000001</v>
      </c>
      <c r="E21" s="42"/>
      <c r="F21" s="46">
        <v>16787.310000000001</v>
      </c>
    </row>
    <row r="22" spans="1:6" ht="15" customHeight="1">
      <c r="A22" s="19">
        <v>22</v>
      </c>
      <c r="B22" s="24" t="str">
        <f>Details!B22</f>
        <v xml:space="preserve">                               Access Bank (Building fund)</v>
      </c>
      <c r="C22" s="24">
        <f>Details!C22</f>
        <v>1513424.07</v>
      </c>
      <c r="D22" s="35">
        <f t="shared" si="0"/>
        <v>1513424.07</v>
      </c>
      <c r="E22" s="42"/>
      <c r="F22" s="46">
        <v>1513424.07</v>
      </c>
    </row>
    <row r="23" spans="1:6" ht="15" customHeight="1">
      <c r="A23" s="19">
        <v>23</v>
      </c>
      <c r="B23" s="24" t="str">
        <f>Details!B23</f>
        <v xml:space="preserve">                               Imprest Account (Cash on hand)</v>
      </c>
      <c r="C23" s="24">
        <f>Details!C23</f>
        <v>3000</v>
      </c>
      <c r="D23" s="35">
        <f t="shared" si="0"/>
        <v>3000</v>
      </c>
      <c r="E23" s="42"/>
      <c r="F23" s="46">
        <v>3000</v>
      </c>
    </row>
    <row r="24" spans="1:6">
      <c r="A24" s="19">
        <v>24</v>
      </c>
      <c r="B24" s="24" t="str">
        <f>Details!B24</f>
        <v>Total B/F from 2020 or last month or quarter</v>
      </c>
      <c r="C24" s="24">
        <f>Details!C24</f>
        <v>1819973.4500000002</v>
      </c>
      <c r="D24" s="35">
        <f t="shared" si="0"/>
        <v>1819973.4500000002</v>
      </c>
      <c r="E24" s="94"/>
      <c r="F24" s="46"/>
    </row>
    <row r="25" spans="1:6" s="9" customFormat="1">
      <c r="A25" s="19">
        <v>25</v>
      </c>
      <c r="B25" s="25" t="str">
        <f>Details!B25</f>
        <v>Total Income/Available cash</v>
      </c>
      <c r="C25" s="25">
        <f>Details!C25</f>
        <v>2416960.5100000002</v>
      </c>
      <c r="D25" s="50">
        <f t="shared" si="0"/>
        <v>2416960.5100000002</v>
      </c>
      <c r="E25" s="94">
        <f>D25/F25</f>
        <v>0.19350276587981635</v>
      </c>
      <c r="F25" s="261">
        <f>SUM(F19:F24)</f>
        <v>12490573.450000001</v>
      </c>
    </row>
    <row r="26" spans="1:6" s="9" customFormat="1">
      <c r="A26" s="19">
        <v>26</v>
      </c>
      <c r="B26" s="25" t="str">
        <f>Details!B26</f>
        <v>EXPENDITURE</v>
      </c>
      <c r="C26" s="25">
        <f>Details!C26</f>
        <v>0</v>
      </c>
      <c r="D26" s="25">
        <f t="shared" si="0"/>
        <v>0</v>
      </c>
      <c r="E26" s="94"/>
      <c r="F26" s="46"/>
    </row>
    <row r="27" spans="1:6" s="9" customFormat="1">
      <c r="A27" s="19">
        <v>27</v>
      </c>
      <c r="B27" s="25" t="str">
        <f>Details!B27</f>
        <v>A. CHURCH MINISTRIES</v>
      </c>
      <c r="C27" s="25">
        <f>Details!C27</f>
        <v>95740</v>
      </c>
      <c r="D27" s="50">
        <f t="shared" si="0"/>
        <v>95740</v>
      </c>
      <c r="E27" s="94">
        <f t="shared" ref="E27:E32" si="1">D27/F27</f>
        <v>3.1779857930027217E-2</v>
      </c>
      <c r="F27" s="261">
        <f>Details!W27</f>
        <v>3012600</v>
      </c>
    </row>
    <row r="28" spans="1:6">
      <c r="A28" s="19">
        <v>28</v>
      </c>
      <c r="B28" s="24" t="str">
        <f>Details!B28</f>
        <v>Benevolence</v>
      </c>
      <c r="C28" s="24">
        <f>Details!C28</f>
        <v>0</v>
      </c>
      <c r="D28" s="35">
        <f t="shared" si="0"/>
        <v>0</v>
      </c>
      <c r="E28" s="42">
        <f t="shared" si="1"/>
        <v>0</v>
      </c>
      <c r="F28" s="46">
        <f>Details!W28</f>
        <v>357000</v>
      </c>
    </row>
    <row r="29" spans="1:6">
      <c r="A29" s="19">
        <v>29</v>
      </c>
      <c r="B29" s="24" t="str">
        <f>Details!B29</f>
        <v>Childrens' Department</v>
      </c>
      <c r="C29" s="24">
        <f>Details!C29</f>
        <v>3440</v>
      </c>
      <c r="D29" s="35">
        <f t="shared" si="0"/>
        <v>3440</v>
      </c>
      <c r="E29" s="42">
        <f t="shared" si="1"/>
        <v>1.3030303030303031E-2</v>
      </c>
      <c r="F29" s="46">
        <f>Details!W29</f>
        <v>264000</v>
      </c>
    </row>
    <row r="30" spans="1:6">
      <c r="A30" s="19">
        <v>30</v>
      </c>
      <c r="B30" s="24" t="str">
        <f>Details!B30</f>
        <v>Church decorations</v>
      </c>
      <c r="C30" s="24">
        <f>Details!C30</f>
        <v>0</v>
      </c>
      <c r="D30" s="35">
        <f t="shared" si="0"/>
        <v>0</v>
      </c>
      <c r="E30" s="42">
        <f t="shared" si="1"/>
        <v>0</v>
      </c>
      <c r="F30" s="46">
        <f>Details!W30</f>
        <v>25000</v>
      </c>
    </row>
    <row r="31" spans="1:6">
      <c r="A31" s="19">
        <v>31</v>
      </c>
      <c r="B31" s="24" t="str">
        <f>Details!B31</f>
        <v>Church Maintenance</v>
      </c>
      <c r="C31" s="24">
        <f>Details!C31</f>
        <v>0</v>
      </c>
      <c r="D31" s="35">
        <f t="shared" si="0"/>
        <v>0</v>
      </c>
      <c r="E31" s="42">
        <f t="shared" si="1"/>
        <v>0</v>
      </c>
      <c r="F31" s="46">
        <f>Details!W31</f>
        <v>20000</v>
      </c>
    </row>
    <row r="32" spans="1:6">
      <c r="A32" s="19">
        <v>32</v>
      </c>
      <c r="B32" s="24" t="str">
        <f>Details!B32</f>
        <v>Diaconate</v>
      </c>
      <c r="C32" s="24">
        <f>Details!C32</f>
        <v>0</v>
      </c>
      <c r="D32" s="35">
        <f t="shared" si="0"/>
        <v>0</v>
      </c>
      <c r="E32" s="42">
        <f t="shared" si="1"/>
        <v>0</v>
      </c>
      <c r="F32" s="46">
        <f>Details!W32</f>
        <v>20000</v>
      </c>
    </row>
    <row r="33" spans="1:6">
      <c r="A33" s="19">
        <v>33</v>
      </c>
      <c r="B33" s="24" t="str">
        <f>Details!B33</f>
        <v>Discipleship Department</v>
      </c>
      <c r="C33" s="24">
        <f>Details!C33</f>
        <v>0</v>
      </c>
      <c r="D33" s="35">
        <f t="shared" si="0"/>
        <v>0</v>
      </c>
      <c r="E33" s="42">
        <f t="shared" ref="E33:E43" si="2">D33/F33</f>
        <v>0</v>
      </c>
      <c r="F33" s="46">
        <f>Details!W33</f>
        <v>15000</v>
      </c>
    </row>
    <row r="34" spans="1:6">
      <c r="A34" s="19">
        <v>34</v>
      </c>
      <c r="B34" s="24" t="str">
        <f>Details!B34</f>
        <v>Drama Committee</v>
      </c>
      <c r="C34" s="24">
        <f>Details!C34</f>
        <v>0</v>
      </c>
      <c r="D34" s="35">
        <f t="shared" si="0"/>
        <v>0</v>
      </c>
      <c r="E34" s="42">
        <f t="shared" si="2"/>
        <v>0</v>
      </c>
      <c r="F34" s="46">
        <f>Details!W34</f>
        <v>35000</v>
      </c>
    </row>
    <row r="35" spans="1:6">
      <c r="A35" s="19">
        <v>35</v>
      </c>
      <c r="B35" s="24" t="str">
        <f>Details!B35</f>
        <v>End of year outreach - Heaven's Link Praise Festival</v>
      </c>
      <c r="C35" s="24">
        <f>Details!C35</f>
        <v>0</v>
      </c>
      <c r="D35" s="35">
        <f t="shared" si="0"/>
        <v>0</v>
      </c>
      <c r="E35" s="42">
        <f t="shared" si="2"/>
        <v>0</v>
      </c>
      <c r="F35" s="46">
        <f>Details!W35</f>
        <v>130000</v>
      </c>
    </row>
    <row r="36" spans="1:6">
      <c r="A36" s="19">
        <v>36</v>
      </c>
      <c r="B36" s="24" t="str">
        <f>Details!B36</f>
        <v>Evangelism Committee</v>
      </c>
      <c r="C36" s="24">
        <f>Details!C36</f>
        <v>0</v>
      </c>
      <c r="D36" s="35">
        <f t="shared" si="0"/>
        <v>0</v>
      </c>
      <c r="E36" s="42">
        <f t="shared" si="2"/>
        <v>0</v>
      </c>
      <c r="F36" s="46">
        <f>Details!W36</f>
        <v>500000</v>
      </c>
    </row>
    <row r="37" spans="1:6">
      <c r="A37" s="19">
        <v>37</v>
      </c>
      <c r="B37" s="24" t="str">
        <f>Details!B37</f>
        <v>Exemplary Youth Award</v>
      </c>
      <c r="C37" s="24">
        <f>Details!C37</f>
        <v>0</v>
      </c>
      <c r="D37" s="35">
        <f t="shared" si="0"/>
        <v>0</v>
      </c>
      <c r="E37" s="42">
        <f t="shared" si="2"/>
        <v>0</v>
      </c>
      <c r="F37" s="46">
        <f>Details!W37</f>
        <v>75000</v>
      </c>
    </row>
    <row r="38" spans="1:6">
      <c r="A38" s="19">
        <v>38</v>
      </c>
      <c r="B38" s="24" t="str">
        <f>Details!B38</f>
        <v>External Affairs</v>
      </c>
      <c r="C38" s="24">
        <f>Details!C38</f>
        <v>20000</v>
      </c>
      <c r="D38" s="35">
        <f t="shared" si="0"/>
        <v>20000</v>
      </c>
      <c r="E38" s="42">
        <f t="shared" si="2"/>
        <v>0.52631578947368418</v>
      </c>
      <c r="F38" s="46">
        <f>Details!W38</f>
        <v>38000</v>
      </c>
    </row>
    <row r="39" spans="1:6">
      <c r="A39" s="19">
        <v>39</v>
      </c>
      <c r="B39" s="24" t="str">
        <f>Details!B39</f>
        <v>Health Committee</v>
      </c>
      <c r="C39" s="24">
        <f>Details!C39</f>
        <v>0</v>
      </c>
      <c r="D39" s="35">
        <f t="shared" si="0"/>
        <v>0</v>
      </c>
      <c r="E39" s="42">
        <f t="shared" si="2"/>
        <v>0</v>
      </c>
      <c r="F39" s="46">
        <f>Details!W39</f>
        <v>34500</v>
      </c>
    </row>
    <row r="40" spans="1:6">
      <c r="A40" s="19">
        <v>40</v>
      </c>
      <c r="B40" s="24" t="str">
        <f>Details!B40</f>
        <v>Hospitality Committee</v>
      </c>
      <c r="C40" s="24">
        <f>Details!C40</f>
        <v>4500</v>
      </c>
      <c r="D40" s="35">
        <f t="shared" si="0"/>
        <v>4500</v>
      </c>
      <c r="E40" s="42">
        <f t="shared" si="2"/>
        <v>1.7123287671232876E-2</v>
      </c>
      <c r="F40" s="46">
        <f>Details!W40</f>
        <v>262800</v>
      </c>
    </row>
    <row r="41" spans="1:6">
      <c r="A41" s="19">
        <v>41</v>
      </c>
      <c r="B41" s="24" t="str">
        <f>Details!B41</f>
        <v>Media/Sound Unit</v>
      </c>
      <c r="C41" s="24">
        <f>Details!C41</f>
        <v>27400</v>
      </c>
      <c r="D41" s="35">
        <f t="shared" si="0"/>
        <v>27400</v>
      </c>
      <c r="E41" s="42">
        <f t="shared" si="2"/>
        <v>0.18266666666666667</v>
      </c>
      <c r="F41" s="46">
        <f>Details!W41</f>
        <v>150000</v>
      </c>
    </row>
    <row r="42" spans="1:6">
      <c r="A42" s="19">
        <v>42</v>
      </c>
      <c r="B42" s="24" t="str">
        <f>Details!B42</f>
        <v>MMU</v>
      </c>
      <c r="C42" s="24">
        <f>Details!C42</f>
        <v>0</v>
      </c>
      <c r="D42" s="35">
        <f t="shared" si="0"/>
        <v>0</v>
      </c>
      <c r="E42" s="42">
        <f t="shared" si="2"/>
        <v>0</v>
      </c>
      <c r="F42" s="46">
        <f>Details!W42</f>
        <v>50000</v>
      </c>
    </row>
    <row r="43" spans="1:6">
      <c r="A43" s="19">
        <v>43</v>
      </c>
      <c r="B43" s="24" t="str">
        <f>Details!B43</f>
        <v>Music Department</v>
      </c>
      <c r="C43" s="24">
        <f>Details!C43</f>
        <v>0</v>
      </c>
      <c r="D43" s="35">
        <f t="shared" si="0"/>
        <v>0</v>
      </c>
      <c r="E43" s="42">
        <f t="shared" si="2"/>
        <v>0</v>
      </c>
      <c r="F43" s="46">
        <f>Details!W43</f>
        <v>281000</v>
      </c>
    </row>
    <row r="44" spans="1:6">
      <c r="A44" s="19">
        <v>44</v>
      </c>
      <c r="B44" s="24" t="str">
        <f>Details!B44</f>
        <v>Nominating</v>
      </c>
      <c r="C44" s="24">
        <f>Details!C44</f>
        <v>0</v>
      </c>
      <c r="D44" s="35">
        <f t="shared" si="0"/>
        <v>0</v>
      </c>
      <c r="E44" s="42"/>
      <c r="F44" s="46">
        <f>Details!W44</f>
        <v>0</v>
      </c>
    </row>
    <row r="45" spans="1:6">
      <c r="A45" s="19">
        <v>45</v>
      </c>
      <c r="B45" s="24" t="str">
        <f>Details!B45</f>
        <v>Property Committee</v>
      </c>
      <c r="C45" s="24">
        <f>Details!C45</f>
        <v>0</v>
      </c>
      <c r="D45" s="35">
        <f t="shared" si="0"/>
        <v>0</v>
      </c>
      <c r="E45" s="42">
        <f>D45/F45</f>
        <v>0</v>
      </c>
      <c r="F45" s="46">
        <f>Details!W45</f>
        <v>200000</v>
      </c>
    </row>
    <row r="46" spans="1:6">
      <c r="A46" s="19">
        <v>46</v>
      </c>
      <c r="B46" s="24" t="str">
        <f>Details!B46</f>
        <v>Personnel</v>
      </c>
      <c r="C46" s="24">
        <f>Details!C46</f>
        <v>0</v>
      </c>
      <c r="D46" s="35">
        <f t="shared" si="0"/>
        <v>0</v>
      </c>
      <c r="E46" s="42"/>
      <c r="F46" s="46">
        <f>Details!W46</f>
        <v>0</v>
      </c>
    </row>
    <row r="47" spans="1:6">
      <c r="A47" s="19">
        <v>47</v>
      </c>
      <c r="B47" s="24" t="str">
        <f>Details!B47</f>
        <v>Sanctuary supplies</v>
      </c>
      <c r="C47" s="24">
        <f>Details!C47</f>
        <v>15000</v>
      </c>
      <c r="D47" s="35">
        <f t="shared" si="0"/>
        <v>15000</v>
      </c>
      <c r="E47" s="42">
        <f t="shared" ref="E47:E53" si="3">D47/F47</f>
        <v>0.05</v>
      </c>
      <c r="F47" s="46">
        <f>Details!W47</f>
        <v>300000</v>
      </c>
    </row>
    <row r="48" spans="1:6">
      <c r="A48" s="19">
        <v>48</v>
      </c>
      <c r="B48" s="24" t="str">
        <f>Details!B48</f>
        <v>Stewardship</v>
      </c>
      <c r="C48" s="24">
        <f>Details!C48</f>
        <v>0</v>
      </c>
      <c r="D48" s="35">
        <f t="shared" si="0"/>
        <v>0</v>
      </c>
      <c r="E48" s="42">
        <f t="shared" si="3"/>
        <v>0</v>
      </c>
      <c r="F48" s="46">
        <f>Details!W48</f>
        <v>10000</v>
      </c>
    </row>
    <row r="49" spans="1:6">
      <c r="A49" s="19">
        <v>49</v>
      </c>
      <c r="B49" s="24" t="str">
        <f>Details!B49</f>
        <v xml:space="preserve">Sunday School </v>
      </c>
      <c r="C49" s="24">
        <f>Details!C49</f>
        <v>11400</v>
      </c>
      <c r="D49" s="35">
        <f t="shared" si="0"/>
        <v>11400</v>
      </c>
      <c r="E49" s="42">
        <f t="shared" si="3"/>
        <v>0.30158730158730157</v>
      </c>
      <c r="F49" s="46">
        <f>Details!W49</f>
        <v>37800</v>
      </c>
    </row>
    <row r="50" spans="1:6">
      <c r="A50" s="19">
        <v>50</v>
      </c>
      <c r="B50" s="24" t="str">
        <f>Details!B50</f>
        <v>Ushers Committee</v>
      </c>
      <c r="C50" s="24">
        <f>Details!C50</f>
        <v>2500</v>
      </c>
      <c r="D50" s="35">
        <f t="shared" si="0"/>
        <v>2500</v>
      </c>
      <c r="E50" s="545">
        <f t="shared" si="3"/>
        <v>0.3125</v>
      </c>
      <c r="F50" s="46">
        <f>Details!W50</f>
        <v>8000</v>
      </c>
    </row>
    <row r="51" spans="1:6">
      <c r="A51" s="19">
        <v>51</v>
      </c>
      <c r="B51" s="24" t="str">
        <f>Details!B51</f>
        <v>Visitation Committee</v>
      </c>
      <c r="C51" s="24">
        <f>Details!C51</f>
        <v>1500</v>
      </c>
      <c r="D51" s="35">
        <f t="shared" si="0"/>
        <v>1500</v>
      </c>
      <c r="E51" s="42">
        <f t="shared" si="3"/>
        <v>9.375E-2</v>
      </c>
      <c r="F51" s="46">
        <f>Details!W51</f>
        <v>16000</v>
      </c>
    </row>
    <row r="52" spans="1:6">
      <c r="A52" s="19">
        <v>52</v>
      </c>
      <c r="B52" s="24" t="str">
        <f>Details!B52</f>
        <v>WMU</v>
      </c>
      <c r="C52" s="24">
        <f>Details!C52</f>
        <v>0</v>
      </c>
      <c r="D52" s="35">
        <f t="shared" si="0"/>
        <v>0</v>
      </c>
      <c r="E52" s="42">
        <f t="shared" si="3"/>
        <v>0</v>
      </c>
      <c r="F52" s="46">
        <f>Details!W52</f>
        <v>80500</v>
      </c>
    </row>
    <row r="53" spans="1:6">
      <c r="A53" s="19">
        <v>53</v>
      </c>
      <c r="B53" s="24" t="str">
        <f>Details!B53</f>
        <v>Youth Fellowship</v>
      </c>
      <c r="C53" s="24">
        <f>Details!C53</f>
        <v>10000</v>
      </c>
      <c r="D53" s="35">
        <f t="shared" si="0"/>
        <v>10000</v>
      </c>
      <c r="E53" s="42">
        <f t="shared" si="3"/>
        <v>0.12048192771084337</v>
      </c>
      <c r="F53" s="46">
        <f>Details!W53</f>
        <v>83000</v>
      </c>
    </row>
    <row r="54" spans="1:6">
      <c r="A54" s="19">
        <v>54</v>
      </c>
      <c r="B54" s="24" t="str">
        <f>Details!B54</f>
        <v>Teenagers</v>
      </c>
      <c r="C54" s="24">
        <f>Details!C54</f>
        <v>0</v>
      </c>
      <c r="D54" s="35">
        <f t="shared" si="0"/>
        <v>0</v>
      </c>
      <c r="E54" s="42">
        <f>D54/F54</f>
        <v>0</v>
      </c>
      <c r="F54" s="46">
        <f>Details!W54</f>
        <v>20000</v>
      </c>
    </row>
    <row r="55" spans="1:6">
      <c r="A55" s="19">
        <v>55</v>
      </c>
      <c r="B55" s="24" t="str">
        <f>Details!B55</f>
        <v>Suspense account</v>
      </c>
      <c r="C55" s="24">
        <f>Details!C55</f>
        <v>0</v>
      </c>
      <c r="D55" s="24">
        <f t="shared" si="0"/>
        <v>0</v>
      </c>
      <c r="E55" s="94"/>
      <c r="F55" s="46"/>
    </row>
    <row r="56" spans="1:6">
      <c r="A56" s="19">
        <v>56</v>
      </c>
      <c r="B56" s="24"/>
      <c r="C56" s="24">
        <f>Details!C56</f>
        <v>0</v>
      </c>
      <c r="D56" s="24">
        <f t="shared" si="0"/>
        <v>0</v>
      </c>
      <c r="E56" s="42"/>
      <c r="F56" s="46"/>
    </row>
    <row r="57" spans="1:6" s="9" customFormat="1">
      <c r="A57" s="19">
        <v>57</v>
      </c>
      <c r="B57" s="25" t="str">
        <f>Details!B57</f>
        <v>B. CHURCH STAFF</v>
      </c>
      <c r="C57" s="25">
        <f>Details!C57</f>
        <v>139819.34</v>
      </c>
      <c r="D57" s="50">
        <f t="shared" si="0"/>
        <v>139819.34</v>
      </c>
      <c r="E57" s="94">
        <f>D57/F57</f>
        <v>4.8216684637944165E-2</v>
      </c>
      <c r="F57" s="261">
        <f>Details!W57</f>
        <v>2899812.4</v>
      </c>
    </row>
    <row r="58" spans="1:6">
      <c r="A58" s="19">
        <v>58</v>
      </c>
      <c r="B58" s="24" t="str">
        <f>Details!B58</f>
        <v>Church Pastor (salaries and allowances)</v>
      </c>
      <c r="C58" s="24">
        <f>Details!C58</f>
        <v>67594.53</v>
      </c>
      <c r="D58" s="35">
        <f t="shared" si="0"/>
        <v>67594.53</v>
      </c>
      <c r="E58" s="42">
        <f>D58/F58</f>
        <v>4.1337136094986335E-2</v>
      </c>
      <c r="F58" s="46">
        <f>Details!W58</f>
        <v>1635201.09</v>
      </c>
    </row>
    <row r="59" spans="1:6">
      <c r="A59" s="19">
        <v>59</v>
      </c>
      <c r="B59" s="24" t="str">
        <f>Details!B59</f>
        <v>Other Pastors</v>
      </c>
      <c r="C59" s="24">
        <f>Details!C59</f>
        <v>49000</v>
      </c>
      <c r="D59" s="35">
        <f t="shared" si="0"/>
        <v>49000</v>
      </c>
      <c r="E59" s="42">
        <f>D59/F59</f>
        <v>6.20253164556962E-2</v>
      </c>
      <c r="F59" s="46">
        <f>Details!W59</f>
        <v>790000</v>
      </c>
    </row>
    <row r="60" spans="1:6" ht="12.75" customHeight="1">
      <c r="A60" s="19">
        <v>60</v>
      </c>
      <c r="B60" s="24" t="str">
        <f>Details!B60</f>
        <v>Janitor</v>
      </c>
      <c r="C60" s="24">
        <f>Details!C60</f>
        <v>23224.81</v>
      </c>
      <c r="D60" s="35">
        <f t="shared" si="0"/>
        <v>23224.81</v>
      </c>
      <c r="E60" s="42">
        <f>D60/F60</f>
        <v>4.8934379587372248E-2</v>
      </c>
      <c r="F60" s="46">
        <f>Details!W60</f>
        <v>474611.31</v>
      </c>
    </row>
    <row r="61" spans="1:6">
      <c r="A61" s="19">
        <v>61</v>
      </c>
      <c r="B61" s="24"/>
      <c r="C61" s="24">
        <f>Details!C61</f>
        <v>0</v>
      </c>
      <c r="D61" s="24">
        <f t="shared" si="0"/>
        <v>0</v>
      </c>
      <c r="E61" s="42"/>
      <c r="F61" s="46"/>
    </row>
    <row r="62" spans="1:6" s="9" customFormat="1">
      <c r="A62" s="19">
        <v>62</v>
      </c>
      <c r="B62" s="25" t="str">
        <f>Details!B62</f>
        <v>C. OPERATION COSTS</v>
      </c>
      <c r="C62" s="25">
        <f>Details!C62</f>
        <v>108354.03</v>
      </c>
      <c r="D62" s="50">
        <f t="shared" si="0"/>
        <v>108354.03</v>
      </c>
      <c r="E62" s="94">
        <f>D62/F62</f>
        <v>0.10139811903425042</v>
      </c>
      <c r="F62" s="261">
        <f>Details!W62</f>
        <v>1068600</v>
      </c>
    </row>
    <row r="63" spans="1:6" s="9" customFormat="1">
      <c r="A63" s="19">
        <v>63</v>
      </c>
      <c r="B63" s="24" t="str">
        <f>Details!B63</f>
        <v>10th Year anniversary celebrations</v>
      </c>
      <c r="C63" s="24">
        <f>Details!C63</f>
        <v>0</v>
      </c>
      <c r="D63" s="35">
        <f t="shared" si="0"/>
        <v>0</v>
      </c>
      <c r="E63" s="42">
        <f>D63/F63</f>
        <v>0</v>
      </c>
      <c r="F63" s="46">
        <f>Details!W63</f>
        <v>200000</v>
      </c>
    </row>
    <row r="64" spans="1:6">
      <c r="A64" s="19">
        <v>64</v>
      </c>
      <c r="B64" s="24" t="str">
        <f>Details!B64</f>
        <v xml:space="preserve">Bank charges: sms, maintenance, VAT etc. </v>
      </c>
      <c r="C64" s="24">
        <f>Details!C64</f>
        <v>1874.0300000000002</v>
      </c>
      <c r="D64" s="35">
        <f t="shared" si="0"/>
        <v>1874.0300000000002</v>
      </c>
      <c r="E64" s="42">
        <f t="shared" ref="E64:E72" si="4">D64/F64</f>
        <v>8.5183181818181825E-2</v>
      </c>
      <c r="F64" s="46">
        <f>Details!W64</f>
        <v>22000</v>
      </c>
    </row>
    <row r="65" spans="1:6">
      <c r="A65" s="19">
        <v>65</v>
      </c>
      <c r="B65" s="24" t="str">
        <f>Details!B65</f>
        <v>Church Council refreshments</v>
      </c>
      <c r="C65" s="24">
        <f>Details!C65</f>
        <v>2000</v>
      </c>
      <c r="D65" s="35">
        <f t="shared" si="0"/>
        <v>2000</v>
      </c>
      <c r="E65" s="42">
        <f t="shared" si="4"/>
        <v>8.3333333333333329E-2</v>
      </c>
      <c r="F65" s="46">
        <f>Details!W65</f>
        <v>24000</v>
      </c>
    </row>
    <row r="66" spans="1:6">
      <c r="A66" s="19">
        <v>66</v>
      </c>
      <c r="B66" s="24" t="str">
        <f>Details!B66</f>
        <v>Church secreteriat</v>
      </c>
      <c r="C66" s="24">
        <f>Details!C66</f>
        <v>8930</v>
      </c>
      <c r="D66" s="35">
        <f t="shared" si="0"/>
        <v>8930</v>
      </c>
      <c r="E66" s="42">
        <f t="shared" si="4"/>
        <v>0.14883333333333335</v>
      </c>
      <c r="F66" s="46">
        <f>Details!W66</f>
        <v>60000</v>
      </c>
    </row>
    <row r="67" spans="1:6">
      <c r="A67" s="19">
        <v>67</v>
      </c>
      <c r="B67" s="24" t="str">
        <f>Details!B67</f>
        <v>Convention session</v>
      </c>
      <c r="C67" s="24">
        <f>Details!C67</f>
        <v>0</v>
      </c>
      <c r="D67" s="35">
        <f t="shared" si="0"/>
        <v>0</v>
      </c>
      <c r="E67" s="42">
        <f t="shared" si="4"/>
        <v>0</v>
      </c>
      <c r="F67" s="46">
        <f>Details!W67</f>
        <v>20000</v>
      </c>
    </row>
    <row r="68" spans="1:6">
      <c r="A68" s="19">
        <v>68</v>
      </c>
      <c r="B68" s="24" t="str">
        <f>Details!B68</f>
        <v>Electricity - church auditorium</v>
      </c>
      <c r="C68" s="24">
        <f>Details!C68</f>
        <v>5000</v>
      </c>
      <c r="D68" s="35">
        <f t="shared" si="0"/>
        <v>5000</v>
      </c>
      <c r="E68" s="42">
        <f t="shared" si="4"/>
        <v>0.15625</v>
      </c>
      <c r="F68" s="46">
        <f>Details!W68</f>
        <v>32000</v>
      </c>
    </row>
    <row r="69" spans="1:6">
      <c r="A69" s="19">
        <v>69</v>
      </c>
      <c r="B69" s="24" t="str">
        <f>Details!B69</f>
        <v>Electricity - Pastorium</v>
      </c>
      <c r="C69" s="24">
        <f>Details!C69</f>
        <v>10000</v>
      </c>
      <c r="D69" s="35">
        <f t="shared" si="0"/>
        <v>10000</v>
      </c>
      <c r="E69" s="42">
        <f t="shared" si="4"/>
        <v>0.20833333333333334</v>
      </c>
      <c r="F69" s="46">
        <f>Details!W69</f>
        <v>48000</v>
      </c>
    </row>
    <row r="70" spans="1:6">
      <c r="A70" s="19">
        <v>70</v>
      </c>
      <c r="B70" s="24" t="str">
        <f>Details!B70</f>
        <v>Generators - fuel and maintenance church auditorium</v>
      </c>
      <c r="C70" s="24">
        <f>Details!C70</f>
        <v>18150</v>
      </c>
      <c r="D70" s="35">
        <f t="shared" si="0"/>
        <v>18150</v>
      </c>
      <c r="E70" s="42">
        <f t="shared" si="4"/>
        <v>6.8275392916422345E-2</v>
      </c>
      <c r="F70" s="46">
        <f>Details!W70</f>
        <v>265835.15999999997</v>
      </c>
    </row>
    <row r="71" spans="1:6">
      <c r="A71" s="19">
        <v>71</v>
      </c>
      <c r="B71" s="24" t="str">
        <f>Details!B71</f>
        <v>Generators - fuel and maintenance pastorium</v>
      </c>
      <c r="C71" s="24">
        <f>Details!C71</f>
        <v>16100</v>
      </c>
      <c r="D71" s="35">
        <f t="shared" ref="D71:D113" si="5">C71</f>
        <v>16100</v>
      </c>
      <c r="E71" s="42">
        <f t="shared" si="4"/>
        <v>0.14535298385299886</v>
      </c>
      <c r="F71" s="46">
        <f>Details!W71</f>
        <v>110764.84</v>
      </c>
    </row>
    <row r="72" spans="1:6">
      <c r="A72" s="19">
        <v>72</v>
      </c>
      <c r="B72" s="24" t="str">
        <f>Details!B72</f>
        <v>Keep fit instructor</v>
      </c>
      <c r="C72" s="24">
        <f>Details!C72</f>
        <v>0</v>
      </c>
      <c r="D72" s="35">
        <f t="shared" si="5"/>
        <v>0</v>
      </c>
      <c r="E72" s="189" t="e">
        <f t="shared" si="4"/>
        <v>#DIV/0!</v>
      </c>
      <c r="F72" s="46">
        <f>Details!W72</f>
        <v>0</v>
      </c>
    </row>
    <row r="73" spans="1:6">
      <c r="A73" s="19">
        <v>73</v>
      </c>
      <c r="B73" s="24" t="str">
        <f>Details!B73</f>
        <v xml:space="preserve">Ministers' Conference </v>
      </c>
      <c r="C73" s="24">
        <f>Details!C73</f>
        <v>0</v>
      </c>
      <c r="D73" s="35">
        <f t="shared" si="5"/>
        <v>0</v>
      </c>
      <c r="E73" s="42"/>
      <c r="F73" s="46">
        <f>Details!W73</f>
        <v>6000</v>
      </c>
    </row>
    <row r="74" spans="1:6">
      <c r="A74" s="19">
        <v>74</v>
      </c>
      <c r="B74" s="24" t="str">
        <f>Details!B74</f>
        <v>Miscellanous (transport for CAN Minister, honorarium for supervisor)</v>
      </c>
      <c r="C74" s="24">
        <f>Details!C74</f>
        <v>2500</v>
      </c>
      <c r="D74" s="35">
        <f t="shared" si="5"/>
        <v>2500</v>
      </c>
      <c r="E74" s="190">
        <f>D74/F74</f>
        <v>0.05</v>
      </c>
      <c r="F74" s="46">
        <f>Details!W74</f>
        <v>50000</v>
      </c>
    </row>
    <row r="75" spans="1:6">
      <c r="A75" s="19">
        <v>75</v>
      </c>
      <c r="B75" s="24" t="str">
        <f>Details!B75</f>
        <v>Motorcycle</v>
      </c>
      <c r="C75" s="24">
        <f>Details!C75</f>
        <v>3800</v>
      </c>
      <c r="D75" s="35">
        <f t="shared" si="5"/>
        <v>3800</v>
      </c>
      <c r="E75" s="42"/>
      <c r="F75" s="46">
        <f>Details!W75</f>
        <v>0</v>
      </c>
    </row>
    <row r="76" spans="1:6">
      <c r="A76" s="19">
        <v>76</v>
      </c>
      <c r="B76" s="24" t="str">
        <f>Details!B76</f>
        <v>Ogbomoso Conference</v>
      </c>
      <c r="C76" s="24">
        <f>Details!C76</f>
        <v>0</v>
      </c>
      <c r="D76" s="35">
        <f t="shared" si="5"/>
        <v>0</v>
      </c>
      <c r="E76" s="42">
        <f>D76/F76</f>
        <v>0</v>
      </c>
      <c r="F76" s="46">
        <f>Details!W76</f>
        <v>25000</v>
      </c>
    </row>
    <row r="77" spans="1:6">
      <c r="A77" s="19">
        <v>77</v>
      </c>
      <c r="B77" s="24" t="str">
        <f>Details!B77</f>
        <v xml:space="preserve">Pastorium rent &amp; maintenance </v>
      </c>
      <c r="C77" s="24">
        <f>Details!C77</f>
        <v>0</v>
      </c>
      <c r="D77" s="35">
        <f t="shared" si="5"/>
        <v>0</v>
      </c>
      <c r="E77" s="42"/>
      <c r="F77" s="46">
        <f>Details!W77</f>
        <v>150000</v>
      </c>
    </row>
    <row r="78" spans="1:6">
      <c r="A78" s="19">
        <v>78</v>
      </c>
      <c r="B78" s="24" t="str">
        <f>Details!B78</f>
        <v>Pastors Wives' retreat</v>
      </c>
      <c r="C78" s="24">
        <f>Details!C78</f>
        <v>0</v>
      </c>
      <c r="D78" s="35">
        <f t="shared" si="5"/>
        <v>0</v>
      </c>
      <c r="E78" s="42"/>
      <c r="F78" s="46">
        <f>Details!W78</f>
        <v>5000</v>
      </c>
    </row>
    <row r="79" spans="1:6">
      <c r="A79" s="19">
        <v>79</v>
      </c>
      <c r="B79" s="24" t="str">
        <f>Details!B79</f>
        <v>Workers' retreat organized by the church</v>
      </c>
      <c r="C79" s="24">
        <f>Details!C79</f>
        <v>40000</v>
      </c>
      <c r="D79" s="35">
        <f t="shared" si="5"/>
        <v>40000</v>
      </c>
      <c r="E79" s="42">
        <f>D79/F79</f>
        <v>0.8</v>
      </c>
      <c r="F79" s="46">
        <f>Details!W79</f>
        <v>50000</v>
      </c>
    </row>
    <row r="80" spans="1:6">
      <c r="A80" s="19">
        <v>80</v>
      </c>
      <c r="B80" s="24"/>
      <c r="C80" s="24">
        <f>Details!C80</f>
        <v>0</v>
      </c>
      <c r="D80" s="546">
        <f t="shared" si="5"/>
        <v>0</v>
      </c>
      <c r="E80" s="42"/>
      <c r="F80" s="46"/>
    </row>
    <row r="81" spans="1:6" s="9" customFormat="1">
      <c r="A81" s="19">
        <v>81</v>
      </c>
      <c r="B81" s="25" t="str">
        <f>Details!B81</f>
        <v>D. NEW AUDITORIUM &amp; OTHER PROJECTS</v>
      </c>
      <c r="C81" s="25">
        <f>Details!C81</f>
        <v>737208</v>
      </c>
      <c r="D81" s="50">
        <f t="shared" si="5"/>
        <v>737208</v>
      </c>
      <c r="E81" s="94"/>
      <c r="F81" s="261">
        <f>Details!W81</f>
        <v>4152000</v>
      </c>
    </row>
    <row r="82" spans="1:6">
      <c r="A82" s="19">
        <v>82</v>
      </c>
      <c r="B82" s="24" t="str">
        <f>Details!B82</f>
        <v>Bank charges - Access bank</v>
      </c>
      <c r="C82" s="24">
        <f>Details!C82</f>
        <v>8</v>
      </c>
      <c r="D82" s="35">
        <f t="shared" si="5"/>
        <v>8</v>
      </c>
      <c r="E82" s="190">
        <f>D82/F82</f>
        <v>4.0000000000000001E-3</v>
      </c>
      <c r="F82" s="46">
        <f>Details!W82</f>
        <v>2000</v>
      </c>
    </row>
    <row r="83" spans="1:6">
      <c r="A83" s="19">
        <v>83</v>
      </c>
      <c r="B83" s="24" t="str">
        <f>Details!B83</f>
        <v>Borehole</v>
      </c>
      <c r="C83" s="24">
        <f>Details!C83</f>
        <v>0</v>
      </c>
      <c r="D83" s="35">
        <f t="shared" si="5"/>
        <v>0</v>
      </c>
      <c r="E83" s="42">
        <f>D83/F83</f>
        <v>0</v>
      </c>
      <c r="F83" s="46">
        <f>Details!W83</f>
        <v>650000</v>
      </c>
    </row>
    <row r="84" spans="1:6">
      <c r="A84" s="19">
        <v>84</v>
      </c>
      <c r="B84" s="24" t="str">
        <f>Details!B84</f>
        <v>Development loan refund</v>
      </c>
      <c r="C84" s="24">
        <f>Details!C84</f>
        <v>0</v>
      </c>
      <c r="D84" s="35">
        <f t="shared" si="5"/>
        <v>0</v>
      </c>
      <c r="E84" s="42" t="e">
        <f>D84/F84</f>
        <v>#DIV/0!</v>
      </c>
      <c r="F84" s="46">
        <f>Details!W84</f>
        <v>0</v>
      </c>
    </row>
    <row r="85" spans="1:6">
      <c r="A85" s="19">
        <v>85</v>
      </c>
      <c r="B85" s="24" t="str">
        <f>Details!B85</f>
        <v>Gift-in-kind towards church auditorium</v>
      </c>
      <c r="C85" s="24">
        <f>Details!C85</f>
        <v>0</v>
      </c>
      <c r="D85" s="35">
        <f t="shared" si="5"/>
        <v>0</v>
      </c>
      <c r="E85" s="42"/>
      <c r="F85" s="46">
        <f>Details!W85</f>
        <v>0</v>
      </c>
    </row>
    <row r="86" spans="1:6">
      <c r="A86" s="19">
        <v>86</v>
      </c>
      <c r="B86" s="24" t="str">
        <f>Details!B86</f>
        <v>New  auditorium - block work, columns and roof beam</v>
      </c>
      <c r="C86" s="24">
        <f>Details!C86</f>
        <v>737200</v>
      </c>
      <c r="D86" s="35">
        <f t="shared" si="5"/>
        <v>737200</v>
      </c>
      <c r="E86" s="42">
        <f>D86/F86</f>
        <v>0.21062857142857142</v>
      </c>
      <c r="F86" s="46">
        <f>Details!W86</f>
        <v>3500000</v>
      </c>
    </row>
    <row r="87" spans="1:6">
      <c r="A87" s="19">
        <v>87</v>
      </c>
      <c r="B87" s="24" t="str">
        <f>Details!B87</f>
        <v>Erection of new sign posts</v>
      </c>
      <c r="C87" s="24">
        <f>Details!C87</f>
        <v>0</v>
      </c>
      <c r="D87" s="35">
        <f t="shared" si="5"/>
        <v>0</v>
      </c>
      <c r="E87" s="42" t="e">
        <f>D87/F87</f>
        <v>#DIV/0!</v>
      </c>
      <c r="F87" s="46">
        <f>Details!W87</f>
        <v>0</v>
      </c>
    </row>
    <row r="88" spans="1:6" ht="18.75" customHeight="1">
      <c r="A88" s="19">
        <v>88</v>
      </c>
      <c r="B88" s="24"/>
      <c r="C88" s="24">
        <f>Details!C88</f>
        <v>0</v>
      </c>
      <c r="D88" s="24">
        <f t="shared" si="5"/>
        <v>0</v>
      </c>
      <c r="E88" s="42"/>
      <c r="F88" s="46"/>
    </row>
    <row r="89" spans="1:6" s="9" customFormat="1">
      <c r="A89" s="19">
        <v>89</v>
      </c>
      <c r="B89" s="25" t="str">
        <f>Details!B89</f>
        <v>E. COOPERATIVE FUNDS</v>
      </c>
      <c r="C89" s="25">
        <f>Details!C89</f>
        <v>0</v>
      </c>
      <c r="D89" s="50">
        <f t="shared" si="5"/>
        <v>0</v>
      </c>
      <c r="E89" s="94">
        <f>D89/F89</f>
        <v>0</v>
      </c>
      <c r="F89" s="261">
        <f>Details!W89</f>
        <v>2421000</v>
      </c>
    </row>
    <row r="90" spans="1:6">
      <c r="A90" s="19">
        <v>90</v>
      </c>
      <c r="B90" s="24" t="str">
        <f>Details!B90</f>
        <v>Association contributions - 3% of tithes &amp; SS, thanksgiving and general offerings</v>
      </c>
      <c r="C90" s="24">
        <f>Details!C90</f>
        <v>0</v>
      </c>
      <c r="D90" s="35">
        <f t="shared" si="5"/>
        <v>0</v>
      </c>
      <c r="E90" s="547">
        <f>D90/F90</f>
        <v>0</v>
      </c>
      <c r="F90" s="548">
        <f>Details!W90</f>
        <v>242100</v>
      </c>
    </row>
    <row r="91" spans="1:6" ht="18" customHeight="1">
      <c r="A91" s="19">
        <v>91</v>
      </c>
      <c r="B91" s="24" t="str">
        <f>Details!B91</f>
        <v>Conference contributions - 7% of tithes &amp;  SS, thanksgiving and general offerings</v>
      </c>
      <c r="C91" s="24">
        <f>Details!C91</f>
        <v>0</v>
      </c>
      <c r="D91" s="35">
        <f t="shared" si="5"/>
        <v>0</v>
      </c>
      <c r="E91" s="133">
        <f>D91/F91</f>
        <v>0</v>
      </c>
      <c r="F91" s="548">
        <f>Details!W91</f>
        <v>564900</v>
      </c>
    </row>
    <row r="92" spans="1:6" ht="18.75" customHeight="1">
      <c r="A92" s="19">
        <v>92</v>
      </c>
      <c r="B92" s="24" t="str">
        <f>Details!B92</f>
        <v>Convention contributions - 20% of tithes &amp; SS, thanksgiving and general  offerings</v>
      </c>
      <c r="C92" s="24">
        <f>Details!C92</f>
        <v>0</v>
      </c>
      <c r="D92" s="35">
        <f t="shared" si="5"/>
        <v>0</v>
      </c>
      <c r="E92" s="133">
        <f>D92/F92</f>
        <v>0</v>
      </c>
      <c r="F92" s="548">
        <f>Details!W92</f>
        <v>1614000</v>
      </c>
    </row>
    <row r="93" spans="1:6" ht="18.75" customHeight="1">
      <c r="A93" s="19">
        <v>93</v>
      </c>
      <c r="B93" s="24"/>
      <c r="C93" s="24">
        <f>Details!C93</f>
        <v>0</v>
      </c>
      <c r="D93" s="24">
        <f t="shared" si="5"/>
        <v>0</v>
      </c>
      <c r="E93" s="134"/>
      <c r="F93" s="548"/>
    </row>
    <row r="94" spans="1:6" s="9" customFormat="1">
      <c r="A94" s="19">
        <v>94</v>
      </c>
      <c r="B94" s="25" t="str">
        <f>Details!B94</f>
        <v>F. DESIGNATED SAVINGS</v>
      </c>
      <c r="C94" s="25">
        <f>Details!C94</f>
        <v>300000</v>
      </c>
      <c r="D94" s="50">
        <f t="shared" si="5"/>
        <v>300000</v>
      </c>
      <c r="E94" s="133">
        <f>D94/F94</f>
        <v>0.625</v>
      </c>
      <c r="F94" s="549">
        <f>Details!W94</f>
        <v>480000</v>
      </c>
    </row>
    <row r="95" spans="1:6">
      <c r="A95" s="19">
        <v>95</v>
      </c>
      <c r="B95" s="24" t="str">
        <f>Details!B95</f>
        <v>Pastorium (rent, development of land etc.)</v>
      </c>
      <c r="C95" s="24">
        <f>Details!C95</f>
        <v>0</v>
      </c>
      <c r="D95" s="35">
        <f t="shared" si="5"/>
        <v>0</v>
      </c>
      <c r="E95" s="133"/>
      <c r="F95" s="548">
        <f>Details!W95</f>
        <v>0</v>
      </c>
    </row>
    <row r="96" spans="1:6">
      <c r="A96" s="19">
        <v>96</v>
      </c>
      <c r="B96" s="24" t="str">
        <f>Details!B96</f>
        <v>New auditorium</v>
      </c>
      <c r="C96" s="24">
        <f>Details!C96</f>
        <v>300000</v>
      </c>
      <c r="D96" s="35">
        <f t="shared" si="5"/>
        <v>300000</v>
      </c>
      <c r="E96" s="133"/>
      <c r="F96" s="548">
        <f>Details!W96</f>
        <v>0</v>
      </c>
    </row>
    <row r="97" spans="1:6">
      <c r="A97" s="19">
        <v>97</v>
      </c>
      <c r="B97" s="24" t="str">
        <f>Details!B97</f>
        <v>Pastor's retirement 2025</v>
      </c>
      <c r="C97" s="24">
        <f>Details!C97</f>
        <v>0</v>
      </c>
      <c r="D97" s="35">
        <f t="shared" si="5"/>
        <v>0</v>
      </c>
      <c r="E97" s="133">
        <f>D97/F97</f>
        <v>0</v>
      </c>
      <c r="F97" s="548">
        <f>Details!W97</f>
        <v>480000</v>
      </c>
    </row>
    <row r="98" spans="1:6" s="9" customFormat="1">
      <c r="A98" s="19">
        <v>98</v>
      </c>
      <c r="B98" s="25" t="str">
        <f>Details!B98</f>
        <v>Total Expenditure</v>
      </c>
      <c r="C98" s="25">
        <f>Details!C98</f>
        <v>1381121.37</v>
      </c>
      <c r="D98" s="50">
        <f t="shared" si="5"/>
        <v>1381121.37</v>
      </c>
      <c r="E98" s="133">
        <f>D98/F98</f>
        <v>9.8412437629027613E-2</v>
      </c>
      <c r="F98" s="549">
        <f>Details!W98</f>
        <v>14034012.4</v>
      </c>
    </row>
    <row r="99" spans="1:6" s="9" customFormat="1">
      <c r="A99" s="19">
        <v>99</v>
      </c>
      <c r="B99" s="25" t="str">
        <f>Details!B99</f>
        <v>Balances in the church's accounts plus imprest account</v>
      </c>
      <c r="C99" s="25">
        <f>Details!C99</f>
        <v>1335839.1399999999</v>
      </c>
      <c r="D99" s="50">
        <f t="shared" si="5"/>
        <v>1335839.1399999999</v>
      </c>
      <c r="E99" s="133"/>
      <c r="F99" s="549"/>
    </row>
    <row r="100" spans="1:6">
      <c r="A100" s="19">
        <v>100</v>
      </c>
      <c r="B100" s="24" t="str">
        <f>Details!B100</f>
        <v>First Bank of Nigeria</v>
      </c>
      <c r="C100" s="24">
        <f>Details!C100</f>
        <v>413591.91</v>
      </c>
      <c r="D100" s="35">
        <f t="shared" si="5"/>
        <v>413591.91</v>
      </c>
      <c r="E100" s="135"/>
      <c r="F100" s="548"/>
    </row>
    <row r="101" spans="1:6" ht="16.5" customHeight="1">
      <c r="A101" s="19">
        <v>101</v>
      </c>
      <c r="B101" s="24" t="str">
        <f>Details!B101</f>
        <v>Add Cash/Cheque in-transit - FBN</v>
      </c>
      <c r="C101" s="24">
        <f>Details!C101</f>
        <v>131420</v>
      </c>
      <c r="D101" s="35">
        <f t="shared" si="5"/>
        <v>131420</v>
      </c>
      <c r="E101" s="134"/>
      <c r="F101" s="548"/>
    </row>
    <row r="102" spans="1:6">
      <c r="A102" s="19">
        <v>102</v>
      </c>
      <c r="B102" s="24" t="str">
        <f>Details!B102</f>
        <v>Less Unpresented cheques - FBN</v>
      </c>
      <c r="C102" s="24">
        <f>Details!C102</f>
        <v>-332800</v>
      </c>
      <c r="D102" s="35">
        <f t="shared" si="5"/>
        <v>-332800</v>
      </c>
      <c r="E102" s="134"/>
      <c r="F102" s="548"/>
    </row>
    <row r="103" spans="1:6">
      <c r="A103" s="19">
        <v>103</v>
      </c>
      <c r="B103" s="24" t="str">
        <f>Details!B103</f>
        <v>Randalpha MFB</v>
      </c>
      <c r="C103" s="24">
        <f>Details!C103</f>
        <v>33911.160000000003</v>
      </c>
      <c r="D103" s="35">
        <f t="shared" si="5"/>
        <v>33911.160000000003</v>
      </c>
      <c r="E103" s="134"/>
      <c r="F103" s="548"/>
    </row>
    <row r="104" spans="1:6">
      <c r="A104" s="19">
        <v>104</v>
      </c>
      <c r="B104" s="24" t="str">
        <f>Details!B104</f>
        <v>Access Bank</v>
      </c>
      <c r="C104" s="24">
        <f>Details!C104</f>
        <v>1521416.07</v>
      </c>
      <c r="D104" s="35">
        <f t="shared" si="5"/>
        <v>1521416.07</v>
      </c>
      <c r="E104" s="134"/>
      <c r="F104" s="548"/>
    </row>
    <row r="105" spans="1:6">
      <c r="A105" s="19">
        <v>105</v>
      </c>
      <c r="B105" s="24" t="str">
        <f>Details!B105</f>
        <v>Add Cash/Cheque in-transit - Access Bank</v>
      </c>
      <c r="C105" s="24">
        <f>Details!C105</f>
        <v>300000</v>
      </c>
      <c r="D105" s="35">
        <f t="shared" si="5"/>
        <v>300000</v>
      </c>
      <c r="E105" s="134"/>
      <c r="F105" s="548"/>
    </row>
    <row r="106" spans="1:6">
      <c r="A106" s="19">
        <v>106</v>
      </c>
      <c r="B106" s="24" t="str">
        <f>Details!B106</f>
        <v>Less Uncleared cheque - Access Bank</v>
      </c>
      <c r="C106" s="24">
        <f>Details!C106</f>
        <v>-737200</v>
      </c>
      <c r="D106" s="35">
        <f t="shared" si="5"/>
        <v>-737200</v>
      </c>
      <c r="E106" s="134"/>
      <c r="F106" s="548"/>
    </row>
    <row r="107" spans="1:6">
      <c r="A107" s="19">
        <v>107</v>
      </c>
      <c r="B107" s="24" t="str">
        <f>Details!B107</f>
        <v>Imprest account (cash on hand)</v>
      </c>
      <c r="C107" s="24">
        <f>Details!C107</f>
        <v>5500</v>
      </c>
      <c r="D107" s="35">
        <f t="shared" si="5"/>
        <v>5500</v>
      </c>
      <c r="E107" s="134"/>
      <c r="F107" s="548"/>
    </row>
    <row r="108" spans="1:6" s="9" customFormat="1" ht="15" customHeight="1">
      <c r="A108" s="19">
        <v>108</v>
      </c>
      <c r="B108" s="27" t="str">
        <f>Details!B108</f>
        <v>CONSOLIDATED INCOME &amp; EXPENDITURE REPORT</v>
      </c>
      <c r="C108" s="25">
        <f>Details!C108</f>
        <v>0</v>
      </c>
      <c r="D108" s="25">
        <f t="shared" si="5"/>
        <v>0</v>
      </c>
      <c r="E108" s="133"/>
      <c r="F108" s="548">
        <f>Details!W108</f>
        <v>0</v>
      </c>
    </row>
    <row r="109" spans="1:6" s="9" customFormat="1" ht="23.25" customHeight="1">
      <c r="A109" s="19">
        <v>109</v>
      </c>
      <c r="B109" s="25" t="str">
        <f>Details!B109</f>
        <v>Income from all sources, including B/F from 2020</v>
      </c>
      <c r="C109" s="25">
        <f>Details!C109</f>
        <v>2416960.5100000002</v>
      </c>
      <c r="D109" s="50">
        <f t="shared" si="5"/>
        <v>2416960.5100000002</v>
      </c>
      <c r="E109" s="550"/>
      <c r="F109" s="549">
        <f>Details!W109</f>
        <v>12490573.450000001</v>
      </c>
    </row>
    <row r="110" spans="1:6" ht="21" customHeight="1">
      <c r="A110" s="19">
        <v>110</v>
      </c>
      <c r="B110" s="24" t="str">
        <f>Details!B110</f>
        <v>Total expenditure on new auditorium</v>
      </c>
      <c r="C110" s="24">
        <f>Details!C110</f>
        <v>737208</v>
      </c>
      <c r="D110" s="35">
        <f t="shared" si="5"/>
        <v>737208</v>
      </c>
      <c r="E110" s="81"/>
      <c r="F110" s="548">
        <f>Details!W110</f>
        <v>3502000</v>
      </c>
    </row>
    <row r="111" spans="1:6" ht="27.75" customHeight="1">
      <c r="A111" s="19">
        <v>111</v>
      </c>
      <c r="B111" s="26" t="str">
        <f>Details!B111</f>
        <v>General expenditure including amount transferred to building fund</v>
      </c>
      <c r="C111" s="138">
        <f>Details!C111</f>
        <v>643913.37000000011</v>
      </c>
      <c r="D111" s="48">
        <f t="shared" si="5"/>
        <v>643913.37000000011</v>
      </c>
      <c r="E111" s="81"/>
      <c r="F111" s="548">
        <f>Details!W111</f>
        <v>14034012.4</v>
      </c>
    </row>
    <row r="112" spans="1:6" s="9" customFormat="1" ht="23.25" customHeight="1" thickBot="1">
      <c r="A112" s="19">
        <v>112</v>
      </c>
      <c r="B112" s="556" t="str">
        <f>Details!B112</f>
        <v>Total expenditure: new auditorium &amp; general</v>
      </c>
      <c r="C112" s="557">
        <f>Details!C112</f>
        <v>1381121.37</v>
      </c>
      <c r="D112" s="558">
        <f t="shared" si="5"/>
        <v>1381121.37</v>
      </c>
      <c r="E112" s="551"/>
      <c r="F112" s="552">
        <f>Details!W112</f>
        <v>14034012.4</v>
      </c>
    </row>
    <row r="113" spans="1:4" ht="14.25" customHeight="1" thickTop="1">
      <c r="A113" s="19">
        <v>113</v>
      </c>
      <c r="B113" s="403" t="str">
        <f>Details!B113</f>
        <v>Control</v>
      </c>
      <c r="C113">
        <f>Details!C113</f>
        <v>-299999.99999999977</v>
      </c>
      <c r="D113">
        <f t="shared" si="5"/>
        <v>-299999.99999999977</v>
      </c>
    </row>
  </sheetData>
  <mergeCells count="3">
    <mergeCell ref="A1:F1"/>
    <mergeCell ref="A2:F2"/>
    <mergeCell ref="A3:F3"/>
  </mergeCells>
  <pageMargins left="0.7" right="0.7" top="0.75" bottom="0.75" header="0.3" footer="0.3"/>
  <pageSetup paperSize="9" scale="75" fitToHeight="2" orientation="portrait" r:id="rId1"/>
  <headerFooter>
    <oddFooter>&amp;L&amp;A&amp;R&amp;P</oddFooter>
  </headerFooter>
  <rowBreaks count="1" manualBreakCount="1">
    <brk id="61" max="5" man="1"/>
  </rowBreaks>
</worksheet>
</file>

<file path=xl/worksheets/sheet8.xml><?xml version="1.0" encoding="utf-8"?>
<worksheet xmlns="http://schemas.openxmlformats.org/spreadsheetml/2006/main" xmlns:r="http://schemas.openxmlformats.org/officeDocument/2006/relationships">
  <dimension ref="A1:J118"/>
  <sheetViews>
    <sheetView view="pageBreakPreview" zoomScale="85" zoomScaleSheetLayoutView="85" workbookViewId="0">
      <pane xSplit="1" ySplit="5" topLeftCell="B90" activePane="bottomRight" state="frozen"/>
      <selection pane="topRight" activeCell="B1" sqref="B1"/>
      <selection pane="bottomLeft" activeCell="A6" sqref="A6"/>
      <selection pane="bottomRight" activeCell="B115" sqref="B115:D115"/>
    </sheetView>
  </sheetViews>
  <sheetFormatPr defaultRowHeight="15"/>
  <cols>
    <col min="1" max="1" width="8.28515625" customWidth="1"/>
    <col min="2" max="2" width="51.85546875" customWidth="1"/>
    <col min="3" max="3" width="19" customWidth="1"/>
    <col min="4" max="4" width="19.5703125" customWidth="1"/>
    <col min="5" max="5" width="15.42578125" customWidth="1"/>
    <col min="6" max="6" width="24" style="3" customWidth="1"/>
    <col min="9" max="9" width="11.5703125" bestFit="1" customWidth="1"/>
  </cols>
  <sheetData>
    <row r="1" spans="1:10" ht="18" thickTop="1">
      <c r="A1" s="735" t="s">
        <v>30</v>
      </c>
      <c r="B1" s="736"/>
      <c r="C1" s="736"/>
      <c r="D1" s="737"/>
      <c r="E1" s="460"/>
    </row>
    <row r="2" spans="1:10" ht="17.25">
      <c r="A2" s="738" t="s">
        <v>210</v>
      </c>
      <c r="B2" s="739"/>
      <c r="C2" s="739"/>
      <c r="D2" s="740"/>
      <c r="E2" s="461"/>
    </row>
    <row r="3" spans="1:10" ht="17.25">
      <c r="A3" s="738" t="s">
        <v>217</v>
      </c>
      <c r="B3" s="739"/>
      <c r="C3" s="739"/>
      <c r="D3" s="740"/>
      <c r="E3" s="461"/>
    </row>
    <row r="4" spans="1:10">
      <c r="A4" s="18"/>
      <c r="B4" s="56" t="s">
        <v>40</v>
      </c>
      <c r="C4" s="416"/>
      <c r="D4" s="90"/>
      <c r="E4" s="32"/>
    </row>
    <row r="5" spans="1:10" ht="27.75" customHeight="1">
      <c r="A5" s="19" t="s">
        <v>43</v>
      </c>
      <c r="B5" s="56"/>
      <c r="C5" s="56" t="s">
        <v>90</v>
      </c>
      <c r="D5" s="463" t="s">
        <v>41</v>
      </c>
      <c r="E5" s="462" t="s">
        <v>68</v>
      </c>
      <c r="F5" s="46" t="s">
        <v>69</v>
      </c>
    </row>
    <row r="6" spans="1:10">
      <c r="A6" s="19">
        <v>6</v>
      </c>
      <c r="B6" s="24" t="str">
        <f>Details!B6</f>
        <v>Bank interest</v>
      </c>
      <c r="C6" s="4">
        <f>Details!D6</f>
        <v>59.98</v>
      </c>
      <c r="D6" s="464">
        <f>C6+Jan!C6</f>
        <v>92.039999999999992</v>
      </c>
      <c r="E6" s="42">
        <f>D6/F6</f>
        <v>0.15339999999999998</v>
      </c>
      <c r="F6" s="46">
        <f>Details!W6</f>
        <v>600</v>
      </c>
      <c r="I6" s="2"/>
      <c r="J6" s="54"/>
    </row>
    <row r="7" spans="1:10">
      <c r="A7" s="19">
        <v>7</v>
      </c>
      <c r="B7" s="24" t="str">
        <f>Details!B7</f>
        <v>Benevolence</v>
      </c>
      <c r="C7" s="4">
        <f>Details!D7</f>
        <v>22530</v>
      </c>
      <c r="D7" s="464">
        <f>C7+Jan!C7</f>
        <v>39700</v>
      </c>
      <c r="E7" s="42">
        <f>D7/F7</f>
        <v>0.26466666666666666</v>
      </c>
      <c r="F7" s="46">
        <f>Details!W7</f>
        <v>150000</v>
      </c>
    </row>
    <row r="8" spans="1:10">
      <c r="A8" s="19">
        <v>8</v>
      </c>
      <c r="B8" s="24" t="str">
        <f>Details!B8</f>
        <v>Building (cash and kind)</v>
      </c>
      <c r="C8" s="4">
        <f>Details!D8</f>
        <v>29800</v>
      </c>
      <c r="D8" s="464">
        <f>C8+Jan!C8</f>
        <v>37800</v>
      </c>
      <c r="E8" s="42">
        <f>D8/F8</f>
        <v>1.89E-2</v>
      </c>
      <c r="F8" s="46">
        <f>Details!W8</f>
        <v>2000000</v>
      </c>
    </row>
    <row r="9" spans="1:10">
      <c r="A9" s="19">
        <v>9</v>
      </c>
      <c r="B9" s="24" t="str">
        <f>Details!B9</f>
        <v>Designated offering towards borehole</v>
      </c>
      <c r="C9" s="4">
        <f>Details!D9</f>
        <v>375000</v>
      </c>
      <c r="D9" s="464">
        <f>C9+Jan!C9</f>
        <v>375000</v>
      </c>
      <c r="E9" s="42">
        <f>D9/F9</f>
        <v>3.75</v>
      </c>
      <c r="F9" s="46">
        <f>Details!W9</f>
        <v>100000</v>
      </c>
    </row>
    <row r="10" spans="1:10">
      <c r="A10" s="19">
        <v>10</v>
      </c>
      <c r="B10" s="24" t="str">
        <f>Details!B10</f>
        <v>Designated offering towards Praise Festival</v>
      </c>
      <c r="C10" s="4">
        <f>Details!D10</f>
        <v>0</v>
      </c>
      <c r="D10" s="464">
        <f>C10+Jan!C10</f>
        <v>0</v>
      </c>
      <c r="E10" s="42"/>
      <c r="F10" s="46">
        <f>Details!W10</f>
        <v>0</v>
      </c>
    </row>
    <row r="11" spans="1:10">
      <c r="A11" s="19">
        <v>11</v>
      </c>
      <c r="B11" s="24" t="str">
        <f>Details!B11</f>
        <v>Foreign Mission offering</v>
      </c>
      <c r="C11" s="4">
        <f>Details!D11</f>
        <v>0</v>
      </c>
      <c r="D11" s="464">
        <f>C11+Jan!C11</f>
        <v>0</v>
      </c>
      <c r="E11" s="42"/>
      <c r="F11" s="46">
        <f>Details!W11</f>
        <v>0</v>
      </c>
    </row>
    <row r="12" spans="1:10">
      <c r="A12" s="19">
        <v>12</v>
      </c>
      <c r="B12" s="24" t="str">
        <f>Details!B12</f>
        <v>Home Mission offering</v>
      </c>
      <c r="C12" s="4">
        <f>Details!D12</f>
        <v>100000</v>
      </c>
      <c r="D12" s="464">
        <f>C12+Jan!C12</f>
        <v>100000</v>
      </c>
      <c r="E12" s="42">
        <f>D12/F12</f>
        <v>0.33333333333333331</v>
      </c>
      <c r="F12" s="46">
        <f>Details!W12</f>
        <v>300000</v>
      </c>
    </row>
    <row r="13" spans="1:10">
      <c r="A13" s="19">
        <v>13</v>
      </c>
      <c r="B13" s="24" t="str">
        <f>Details!B13</f>
        <v>Designated - Church signpost</v>
      </c>
      <c r="C13" s="4">
        <f>Details!D13</f>
        <v>0</v>
      </c>
      <c r="D13" s="464">
        <f>C13+Jan!C13</f>
        <v>0</v>
      </c>
      <c r="E13" s="42"/>
      <c r="F13" s="46">
        <f>Details!W13</f>
        <v>0</v>
      </c>
    </row>
    <row r="14" spans="1:10">
      <c r="A14" s="19">
        <v>14</v>
      </c>
      <c r="B14" s="24" t="str">
        <f>Details!B14</f>
        <v>Designated - Teenagers' Church</v>
      </c>
      <c r="C14" s="4">
        <f>Details!D14</f>
        <v>0</v>
      </c>
      <c r="D14" s="464">
        <f>C14+Jan!C14</f>
        <v>0</v>
      </c>
      <c r="E14" s="42"/>
      <c r="F14" s="46">
        <f>Details!W14</f>
        <v>50000</v>
      </c>
    </row>
    <row r="15" spans="1:10">
      <c r="A15" s="19">
        <v>15</v>
      </c>
      <c r="B15" s="24" t="str">
        <f>Details!B15</f>
        <v>Offering</v>
      </c>
      <c r="C15" s="4">
        <f>Details!D15</f>
        <v>81630</v>
      </c>
      <c r="D15" s="464">
        <f>C15+Jan!C15</f>
        <v>193685</v>
      </c>
      <c r="E15" s="42">
        <f>D15/F15</f>
        <v>0.193685</v>
      </c>
      <c r="F15" s="46">
        <f>Details!W15</f>
        <v>1000000</v>
      </c>
    </row>
    <row r="16" spans="1:10">
      <c r="A16" s="19">
        <v>16</v>
      </c>
      <c r="B16" s="24" t="str">
        <f>Details!B16</f>
        <v xml:space="preserve">Sunday School </v>
      </c>
      <c r="C16" s="4">
        <f>Details!D16</f>
        <v>19565</v>
      </c>
      <c r="D16" s="464">
        <f>C16+Jan!C16</f>
        <v>43035</v>
      </c>
      <c r="E16" s="42">
        <f>D16/F16</f>
        <v>0.25314705882352939</v>
      </c>
      <c r="F16" s="46">
        <f>Details!W16</f>
        <v>170000</v>
      </c>
    </row>
    <row r="17" spans="1:6">
      <c r="A17" s="19">
        <v>17</v>
      </c>
      <c r="B17" s="24" t="str">
        <f>Details!B17</f>
        <v>Thanksgiving</v>
      </c>
      <c r="C17" s="4">
        <f>Details!D17</f>
        <v>17030</v>
      </c>
      <c r="D17" s="464">
        <f>C17+Jan!C17</f>
        <v>68120</v>
      </c>
      <c r="E17" s="42">
        <f>D17/F17</f>
        <v>0.17030000000000001</v>
      </c>
      <c r="F17" s="46">
        <f>Details!W17</f>
        <v>400000</v>
      </c>
    </row>
    <row r="18" spans="1:6">
      <c r="A18" s="19">
        <v>18</v>
      </c>
      <c r="B18" s="24" t="str">
        <f>Details!B18</f>
        <v>Tithes</v>
      </c>
      <c r="C18" s="4">
        <f>Details!D18</f>
        <v>705022</v>
      </c>
      <c r="D18" s="464">
        <f>C18+Jan!C18</f>
        <v>1090192</v>
      </c>
      <c r="E18" s="42">
        <f>D18/F18</f>
        <v>0.16772184615384617</v>
      </c>
      <c r="F18" s="46">
        <f>Details!W18</f>
        <v>6500000</v>
      </c>
    </row>
    <row r="19" spans="1:6">
      <c r="A19" s="19">
        <v>19</v>
      </c>
      <c r="B19" s="25" t="str">
        <f>Details!B19</f>
        <v>Total income this reporting period</v>
      </c>
      <c r="C19" s="7">
        <f>Details!D19</f>
        <v>1350636.98</v>
      </c>
      <c r="D19" s="465">
        <f>C19+Jan!C19</f>
        <v>1947624.04</v>
      </c>
      <c r="E19" s="94">
        <f>D19/F19</f>
        <v>0.18252244859707983</v>
      </c>
      <c r="F19" s="261">
        <f>Details!W19</f>
        <v>10670600</v>
      </c>
    </row>
    <row r="20" spans="1:6" ht="18" customHeight="1">
      <c r="A20" s="19">
        <v>20</v>
      </c>
      <c r="B20" s="26" t="str">
        <f>Details!B20</f>
        <v>B/F from previous month/quarter: First Bank of Nigeria</v>
      </c>
      <c r="C20" s="47">
        <f>Details!D20</f>
        <v>212211.90999999992</v>
      </c>
      <c r="D20" s="466">
        <f>Details!C20</f>
        <v>286762.07</v>
      </c>
      <c r="E20" s="42"/>
      <c r="F20" s="46">
        <v>286762.07</v>
      </c>
    </row>
    <row r="21" spans="1:6">
      <c r="A21" s="19">
        <v>21</v>
      </c>
      <c r="B21" s="24" t="str">
        <f>Details!B21</f>
        <v xml:space="preserve">                               Randalapha MFB</v>
      </c>
      <c r="C21" s="4">
        <f>Details!D21</f>
        <v>33911.160000000003</v>
      </c>
      <c r="D21" s="467">
        <f>Details!C21</f>
        <v>16787.310000000001</v>
      </c>
      <c r="E21" s="42"/>
      <c r="F21" s="46">
        <v>16787.310000000001</v>
      </c>
    </row>
    <row r="22" spans="1:6" ht="15" customHeight="1">
      <c r="A22" s="19">
        <v>22</v>
      </c>
      <c r="B22" s="24" t="str">
        <f>Details!B22</f>
        <v xml:space="preserve">                               Access Bank (Building fund)</v>
      </c>
      <c r="C22" s="4">
        <f>Details!D22</f>
        <v>1084216.07</v>
      </c>
      <c r="D22" s="467">
        <f>Details!C22</f>
        <v>1513424.07</v>
      </c>
      <c r="E22" s="42"/>
      <c r="F22" s="46">
        <v>1513424.07</v>
      </c>
    </row>
    <row r="23" spans="1:6" ht="15" customHeight="1">
      <c r="A23" s="19">
        <v>23</v>
      </c>
      <c r="B23" s="24" t="str">
        <f>Details!B23</f>
        <v xml:space="preserve">                               Imprest Account (Cash on hand)</v>
      </c>
      <c r="C23" s="4">
        <f>Details!D23</f>
        <v>5500</v>
      </c>
      <c r="D23" s="467">
        <f>Details!C23</f>
        <v>3000</v>
      </c>
      <c r="E23" s="42"/>
      <c r="F23" s="46">
        <v>3000</v>
      </c>
    </row>
    <row r="24" spans="1:6">
      <c r="A24" s="19">
        <v>24</v>
      </c>
      <c r="B24" s="25" t="str">
        <f>Details!B24</f>
        <v>Total B/F from 2020 or last month or quarter</v>
      </c>
      <c r="C24" s="7">
        <f>Details!D24</f>
        <v>1335839.1399999999</v>
      </c>
      <c r="D24" s="465">
        <f>Details!C24</f>
        <v>1819973.4500000002</v>
      </c>
      <c r="E24" s="94"/>
      <c r="F24" s="46"/>
    </row>
    <row r="25" spans="1:6">
      <c r="A25" s="19">
        <v>25</v>
      </c>
      <c r="B25" s="25" t="str">
        <f>Details!B25</f>
        <v>Total Income/Available cash</v>
      </c>
      <c r="C25" s="7">
        <f>Details!D25</f>
        <v>2686476.12</v>
      </c>
      <c r="D25" s="465">
        <f>D24+D19</f>
        <v>3767597.49</v>
      </c>
      <c r="E25" s="94">
        <f>D25/F25</f>
        <v>0.30163526959604886</v>
      </c>
      <c r="F25" s="261">
        <f>SUM(F19:F24)</f>
        <v>12490573.450000001</v>
      </c>
    </row>
    <row r="26" spans="1:6">
      <c r="A26" s="19">
        <v>26</v>
      </c>
      <c r="B26" s="25" t="str">
        <f>Details!B26</f>
        <v>EXPENDITURE</v>
      </c>
      <c r="C26" s="7"/>
      <c r="D26" s="464"/>
      <c r="E26" s="94"/>
      <c r="F26" s="46"/>
    </row>
    <row r="27" spans="1:6">
      <c r="A27" s="19">
        <v>27</v>
      </c>
      <c r="B27" s="25" t="str">
        <f>Details!B27</f>
        <v>A. CHURCH MINISTRIES</v>
      </c>
      <c r="C27" s="7">
        <f>Details!D27</f>
        <v>122000</v>
      </c>
      <c r="D27" s="465">
        <f>C27+Jan!C27</f>
        <v>217740</v>
      </c>
      <c r="E27" s="94">
        <f t="shared" ref="E27:E43" si="0">D27/F27</f>
        <v>7.2276438956383193E-2</v>
      </c>
      <c r="F27" s="261">
        <f>Details!W27</f>
        <v>3012600</v>
      </c>
    </row>
    <row r="28" spans="1:6">
      <c r="A28" s="19">
        <v>28</v>
      </c>
      <c r="B28" s="24" t="str">
        <f>Details!B28</f>
        <v>Benevolence</v>
      </c>
      <c r="C28" s="4">
        <f>Details!D28</f>
        <v>0</v>
      </c>
      <c r="D28" s="464">
        <f>C28+Jan!C28</f>
        <v>0</v>
      </c>
      <c r="E28" s="42">
        <f t="shared" si="0"/>
        <v>0</v>
      </c>
      <c r="F28" s="46">
        <f>Details!W28</f>
        <v>357000</v>
      </c>
    </row>
    <row r="29" spans="1:6">
      <c r="A29" s="19">
        <v>29</v>
      </c>
      <c r="B29" s="24" t="str">
        <f>Details!B29</f>
        <v>Childrens' Department</v>
      </c>
      <c r="C29" s="4">
        <f>Details!D29</f>
        <v>3500</v>
      </c>
      <c r="D29" s="464">
        <f>C29+Jan!C29</f>
        <v>6940</v>
      </c>
      <c r="E29" s="42">
        <f t="shared" si="0"/>
        <v>2.6287878787878787E-2</v>
      </c>
      <c r="F29" s="46">
        <f>Details!W29</f>
        <v>264000</v>
      </c>
    </row>
    <row r="30" spans="1:6">
      <c r="A30" s="19">
        <v>30</v>
      </c>
      <c r="B30" s="24" t="str">
        <f>Details!B30</f>
        <v>Church decorations</v>
      </c>
      <c r="C30" s="4">
        <f>Details!D30</f>
        <v>0</v>
      </c>
      <c r="D30" s="464">
        <f>C30+Jan!C30</f>
        <v>0</v>
      </c>
      <c r="E30" s="42">
        <f t="shared" si="0"/>
        <v>0</v>
      </c>
      <c r="F30" s="46">
        <f>Details!W30</f>
        <v>25000</v>
      </c>
    </row>
    <row r="31" spans="1:6">
      <c r="A31" s="19">
        <v>31</v>
      </c>
      <c r="B31" s="24" t="str">
        <f>Details!B31</f>
        <v>Church Maintenance</v>
      </c>
      <c r="C31" s="4">
        <f>Details!D31</f>
        <v>0</v>
      </c>
      <c r="D31" s="464">
        <f>C31+Jan!C31</f>
        <v>0</v>
      </c>
      <c r="E31" s="42">
        <f t="shared" si="0"/>
        <v>0</v>
      </c>
      <c r="F31" s="46">
        <f>Details!W31</f>
        <v>20000</v>
      </c>
    </row>
    <row r="32" spans="1:6">
      <c r="A32" s="19">
        <v>32</v>
      </c>
      <c r="B32" s="24" t="str">
        <f>Details!B32</f>
        <v>Diaconate</v>
      </c>
      <c r="C32" s="4">
        <f>Details!D32</f>
        <v>0</v>
      </c>
      <c r="D32" s="464">
        <f>C32+Jan!C32</f>
        <v>0</v>
      </c>
      <c r="E32" s="42">
        <f t="shared" si="0"/>
        <v>0</v>
      </c>
      <c r="F32" s="46">
        <f>Details!W32</f>
        <v>20000</v>
      </c>
    </row>
    <row r="33" spans="1:6">
      <c r="A33" s="19">
        <v>33</v>
      </c>
      <c r="B33" s="24" t="str">
        <f>Details!B33</f>
        <v>Discipleship Department</v>
      </c>
      <c r="C33" s="4">
        <f>Details!D33</f>
        <v>0</v>
      </c>
      <c r="D33" s="464">
        <f>C33+Jan!C33</f>
        <v>0</v>
      </c>
      <c r="E33" s="42">
        <f t="shared" si="0"/>
        <v>0</v>
      </c>
      <c r="F33" s="46">
        <f>Details!W33</f>
        <v>15000</v>
      </c>
    </row>
    <row r="34" spans="1:6">
      <c r="A34" s="19">
        <v>34</v>
      </c>
      <c r="B34" s="24" t="str">
        <f>Details!B34</f>
        <v>Drama Committee</v>
      </c>
      <c r="C34" s="4">
        <f>Details!D34</f>
        <v>0</v>
      </c>
      <c r="D34" s="464">
        <f>C34+Jan!C34</f>
        <v>0</v>
      </c>
      <c r="E34" s="42">
        <f t="shared" si="0"/>
        <v>0</v>
      </c>
      <c r="F34" s="46">
        <f>Details!W34</f>
        <v>35000</v>
      </c>
    </row>
    <row r="35" spans="1:6">
      <c r="A35" s="19">
        <v>35</v>
      </c>
      <c r="B35" s="24" t="str">
        <f>Details!B35</f>
        <v>End of year outreach - Heaven's Link Praise Festival</v>
      </c>
      <c r="C35" s="4">
        <f>Details!D35</f>
        <v>0</v>
      </c>
      <c r="D35" s="464">
        <f>C35+Jan!C35</f>
        <v>0</v>
      </c>
      <c r="E35" s="42">
        <f t="shared" si="0"/>
        <v>0</v>
      </c>
      <c r="F35" s="46">
        <f>Details!W35</f>
        <v>130000</v>
      </c>
    </row>
    <row r="36" spans="1:6">
      <c r="A36" s="19">
        <v>36</v>
      </c>
      <c r="B36" s="24" t="str">
        <f>Details!B36</f>
        <v>Evangelism Committee</v>
      </c>
      <c r="C36" s="4">
        <f>Details!D36</f>
        <v>0</v>
      </c>
      <c r="D36" s="464">
        <f>C36+Jan!C36</f>
        <v>0</v>
      </c>
      <c r="E36" s="42">
        <f t="shared" si="0"/>
        <v>0</v>
      </c>
      <c r="F36" s="46">
        <f>Details!W36</f>
        <v>500000</v>
      </c>
    </row>
    <row r="37" spans="1:6">
      <c r="A37" s="19">
        <v>37</v>
      </c>
      <c r="B37" s="24" t="str">
        <f>Details!B37</f>
        <v>Exemplary Youth Award</v>
      </c>
      <c r="C37" s="4">
        <f>Details!D37</f>
        <v>0</v>
      </c>
      <c r="D37" s="464">
        <f>C37+Jan!C37</f>
        <v>0</v>
      </c>
      <c r="E37" s="42">
        <f t="shared" si="0"/>
        <v>0</v>
      </c>
      <c r="F37" s="46">
        <f>Details!W37</f>
        <v>75000</v>
      </c>
    </row>
    <row r="38" spans="1:6">
      <c r="A38" s="19">
        <v>38</v>
      </c>
      <c r="B38" s="24" t="str">
        <f>Details!B38</f>
        <v>External Affairs</v>
      </c>
      <c r="C38" s="4">
        <f>Details!D38</f>
        <v>2000</v>
      </c>
      <c r="D38" s="464">
        <f>C38+Jan!C38</f>
        <v>22000</v>
      </c>
      <c r="E38" s="42">
        <f t="shared" si="0"/>
        <v>0.57894736842105265</v>
      </c>
      <c r="F38" s="46">
        <f>Details!W38</f>
        <v>38000</v>
      </c>
    </row>
    <row r="39" spans="1:6">
      <c r="A39" s="19">
        <v>39</v>
      </c>
      <c r="B39" s="24" t="str">
        <f>Details!B39</f>
        <v>Health Committee</v>
      </c>
      <c r="C39" s="4">
        <f>Details!D39</f>
        <v>0</v>
      </c>
      <c r="D39" s="464">
        <f>C39+Jan!C39</f>
        <v>0</v>
      </c>
      <c r="E39" s="42">
        <f t="shared" si="0"/>
        <v>0</v>
      </c>
      <c r="F39" s="46">
        <f>Details!W39</f>
        <v>34500</v>
      </c>
    </row>
    <row r="40" spans="1:6">
      <c r="A40" s="19">
        <v>40</v>
      </c>
      <c r="B40" s="24" t="str">
        <f>Details!B40</f>
        <v>Hospitality Committee</v>
      </c>
      <c r="C40" s="4">
        <f>Details!D40</f>
        <v>0</v>
      </c>
      <c r="D40" s="464">
        <f>C40+Jan!C40</f>
        <v>4500</v>
      </c>
      <c r="E40" s="42">
        <f t="shared" si="0"/>
        <v>1.7123287671232876E-2</v>
      </c>
      <c r="F40" s="46">
        <f>Details!W40</f>
        <v>262800</v>
      </c>
    </row>
    <row r="41" spans="1:6">
      <c r="A41" s="19">
        <v>41</v>
      </c>
      <c r="B41" s="24" t="str">
        <f>Details!B41</f>
        <v>Media/Sound Unit</v>
      </c>
      <c r="C41" s="4">
        <f>Details!D41</f>
        <v>0</v>
      </c>
      <c r="D41" s="464">
        <f>C41+Jan!C41</f>
        <v>27400</v>
      </c>
      <c r="E41" s="42">
        <f t="shared" si="0"/>
        <v>0.18266666666666667</v>
      </c>
      <c r="F41" s="46">
        <f>Details!W41</f>
        <v>150000</v>
      </c>
    </row>
    <row r="42" spans="1:6">
      <c r="A42" s="19">
        <v>42</v>
      </c>
      <c r="B42" s="24" t="str">
        <f>Details!B42</f>
        <v>MMU</v>
      </c>
      <c r="C42" s="4">
        <f>Details!D42</f>
        <v>0</v>
      </c>
      <c r="D42" s="464">
        <f>C42+Jan!C42</f>
        <v>0</v>
      </c>
      <c r="E42" s="42">
        <f t="shared" si="0"/>
        <v>0</v>
      </c>
      <c r="F42" s="46">
        <f>Details!W42</f>
        <v>50000</v>
      </c>
    </row>
    <row r="43" spans="1:6">
      <c r="A43" s="19">
        <v>43</v>
      </c>
      <c r="B43" s="24" t="str">
        <f>Details!B43</f>
        <v>Music Department</v>
      </c>
      <c r="C43" s="4">
        <f>Details!D43</f>
        <v>16000</v>
      </c>
      <c r="D43" s="464">
        <f>C43+Jan!C43</f>
        <v>16000</v>
      </c>
      <c r="E43" s="42">
        <f t="shared" si="0"/>
        <v>5.6939501779359428E-2</v>
      </c>
      <c r="F43" s="46">
        <f>Details!W43</f>
        <v>281000</v>
      </c>
    </row>
    <row r="44" spans="1:6">
      <c r="A44" s="19">
        <v>44</v>
      </c>
      <c r="B44" s="24" t="str">
        <f>Details!B44</f>
        <v>Nominating</v>
      </c>
      <c r="C44" s="4">
        <f>Details!D44</f>
        <v>0</v>
      </c>
      <c r="D44" s="464">
        <f>C44+Jan!C44</f>
        <v>0</v>
      </c>
      <c r="E44" s="42"/>
      <c r="F44" s="46">
        <f>Details!W44</f>
        <v>0</v>
      </c>
    </row>
    <row r="45" spans="1:6">
      <c r="A45" s="19">
        <v>45</v>
      </c>
      <c r="B45" s="24" t="str">
        <f>Details!B45</f>
        <v>Property Committee</v>
      </c>
      <c r="C45" s="4">
        <f>Details!D45</f>
        <v>0</v>
      </c>
      <c r="D45" s="464">
        <f>C45+Jan!C45</f>
        <v>0</v>
      </c>
      <c r="E45" s="42">
        <f>D45/F45</f>
        <v>0</v>
      </c>
      <c r="F45" s="46">
        <f>Details!W45</f>
        <v>200000</v>
      </c>
    </row>
    <row r="46" spans="1:6">
      <c r="A46" s="19">
        <v>46</v>
      </c>
      <c r="B46" s="24" t="str">
        <f>Details!B46</f>
        <v>Personnel</v>
      </c>
      <c r="C46" s="4">
        <f>Details!D46</f>
        <v>0</v>
      </c>
      <c r="D46" s="464">
        <f>C46+Jan!C46</f>
        <v>0</v>
      </c>
      <c r="E46" s="42"/>
      <c r="F46" s="46">
        <f>Details!W46</f>
        <v>0</v>
      </c>
    </row>
    <row r="47" spans="1:6">
      <c r="A47" s="19">
        <v>47</v>
      </c>
      <c r="B47" s="24" t="str">
        <f>Details!B47</f>
        <v>Sanctuary supplies</v>
      </c>
      <c r="C47" s="4">
        <f>Details!D47</f>
        <v>27500</v>
      </c>
      <c r="D47" s="464">
        <f>C47+Jan!C47</f>
        <v>42500</v>
      </c>
      <c r="E47" s="42">
        <f t="shared" ref="E47:E53" si="1">D47/F47</f>
        <v>0.14166666666666666</v>
      </c>
      <c r="F47" s="46">
        <f>Details!W47</f>
        <v>300000</v>
      </c>
    </row>
    <row r="48" spans="1:6">
      <c r="A48" s="19">
        <v>48</v>
      </c>
      <c r="B48" s="24" t="str">
        <f>Details!B48</f>
        <v>Stewardship</v>
      </c>
      <c r="C48" s="4">
        <f>Details!D48</f>
        <v>0</v>
      </c>
      <c r="D48" s="464">
        <f>C48+Jan!C48</f>
        <v>0</v>
      </c>
      <c r="E48" s="42">
        <f t="shared" si="1"/>
        <v>0</v>
      </c>
      <c r="F48" s="46">
        <f>Details!W48</f>
        <v>10000</v>
      </c>
    </row>
    <row r="49" spans="1:6">
      <c r="A49" s="19">
        <v>49</v>
      </c>
      <c r="B49" s="24" t="str">
        <f>Details!B49</f>
        <v xml:space="preserve">Sunday School </v>
      </c>
      <c r="C49" s="4">
        <f>Details!D49</f>
        <v>0</v>
      </c>
      <c r="D49" s="464">
        <f>C49+Jan!C49</f>
        <v>11400</v>
      </c>
      <c r="E49" s="42">
        <f t="shared" si="1"/>
        <v>0.30158730158730157</v>
      </c>
      <c r="F49" s="46">
        <f>Details!W49</f>
        <v>37800</v>
      </c>
    </row>
    <row r="50" spans="1:6">
      <c r="A50" s="19">
        <v>50</v>
      </c>
      <c r="B50" s="24" t="str">
        <f>Details!B50</f>
        <v>Ushers Committee</v>
      </c>
      <c r="C50" s="4">
        <f>Details!D50</f>
        <v>0</v>
      </c>
      <c r="D50" s="684">
        <f>C50+Jan!C50</f>
        <v>2500</v>
      </c>
      <c r="E50" s="545">
        <f t="shared" si="1"/>
        <v>0.3125</v>
      </c>
      <c r="F50" s="46">
        <f>Details!W50</f>
        <v>8000</v>
      </c>
    </row>
    <row r="51" spans="1:6">
      <c r="A51" s="19">
        <v>51</v>
      </c>
      <c r="B51" s="24" t="str">
        <f>Details!B51</f>
        <v>Visitation Committee</v>
      </c>
      <c r="C51" s="4">
        <f>Details!D51</f>
        <v>3000</v>
      </c>
      <c r="D51" s="464">
        <f>C51+Jan!C51</f>
        <v>4500</v>
      </c>
      <c r="E51" s="42">
        <f t="shared" si="1"/>
        <v>0.28125</v>
      </c>
      <c r="F51" s="46">
        <f>Details!W51</f>
        <v>16000</v>
      </c>
    </row>
    <row r="52" spans="1:6">
      <c r="A52" s="19">
        <v>52</v>
      </c>
      <c r="B52" s="24" t="str">
        <f>Details!B52</f>
        <v>WMU</v>
      </c>
      <c r="C52" s="4">
        <f>Details!D52</f>
        <v>0</v>
      </c>
      <c r="D52" s="464">
        <f>C52+Jan!C52</f>
        <v>0</v>
      </c>
      <c r="E52" s="42">
        <f t="shared" si="1"/>
        <v>0</v>
      </c>
      <c r="F52" s="46">
        <f>Details!W52</f>
        <v>80500</v>
      </c>
    </row>
    <row r="53" spans="1:6">
      <c r="A53" s="19">
        <v>53</v>
      </c>
      <c r="B53" s="24" t="str">
        <f>Details!B53</f>
        <v>Youth Fellowship</v>
      </c>
      <c r="C53" s="4">
        <f>Details!D53</f>
        <v>49000</v>
      </c>
      <c r="D53" s="464">
        <f>C53+Jan!C53</f>
        <v>59000</v>
      </c>
      <c r="E53" s="42">
        <f t="shared" si="1"/>
        <v>0.71084337349397586</v>
      </c>
      <c r="F53" s="46">
        <f>Details!W53</f>
        <v>83000</v>
      </c>
    </row>
    <row r="54" spans="1:6">
      <c r="A54" s="19">
        <v>54</v>
      </c>
      <c r="B54" s="24" t="str">
        <f>Details!B54</f>
        <v>Teenagers</v>
      </c>
      <c r="C54" s="4">
        <f>Details!D54</f>
        <v>21000</v>
      </c>
      <c r="D54" s="464">
        <f>C54+Jan!C54</f>
        <v>21000</v>
      </c>
      <c r="E54" s="42">
        <f>D54/F54</f>
        <v>1.05</v>
      </c>
      <c r="F54" s="46">
        <f>Details!W54</f>
        <v>20000</v>
      </c>
    </row>
    <row r="55" spans="1:6">
      <c r="A55" s="19">
        <v>55</v>
      </c>
      <c r="B55" s="24"/>
      <c r="C55" s="4"/>
      <c r="D55" s="465"/>
      <c r="E55" s="94"/>
      <c r="F55" s="46"/>
    </row>
    <row r="56" spans="1:6">
      <c r="A56" s="19">
        <v>56</v>
      </c>
      <c r="B56" s="24"/>
      <c r="C56" s="4"/>
      <c r="D56" s="464"/>
      <c r="E56" s="42"/>
      <c r="F56" s="46"/>
    </row>
    <row r="57" spans="1:6">
      <c r="A57" s="19">
        <v>57</v>
      </c>
      <c r="B57" s="25" t="str">
        <f>Details!B57</f>
        <v>B. CHURCH STAFF</v>
      </c>
      <c r="C57" s="7">
        <f>Details!D57</f>
        <v>255977.27</v>
      </c>
      <c r="D57" s="465">
        <f>C57+Jan!C57</f>
        <v>395796.61</v>
      </c>
      <c r="E57" s="94">
        <f>D57/F57</f>
        <v>0.13649041917332308</v>
      </c>
      <c r="F57" s="261">
        <f>Details!W57</f>
        <v>2899812.4</v>
      </c>
    </row>
    <row r="58" spans="1:6">
      <c r="A58" s="19">
        <v>58</v>
      </c>
      <c r="B58" s="24" t="str">
        <f>Details!B58</f>
        <v>Church Pastor (salaries and allowances)</v>
      </c>
      <c r="C58" s="4">
        <f>Details!D58</f>
        <v>145273.68</v>
      </c>
      <c r="D58" s="464">
        <f>C58+Jan!C58</f>
        <v>212868.21</v>
      </c>
      <c r="E58" s="42">
        <f>D58/F58</f>
        <v>0.13017861307810161</v>
      </c>
      <c r="F58" s="46">
        <f>Details!W58</f>
        <v>1635201.09</v>
      </c>
    </row>
    <row r="59" spans="1:6">
      <c r="A59" s="19">
        <v>59</v>
      </c>
      <c r="B59" s="24" t="str">
        <f>Details!B59</f>
        <v>Other Pastors</v>
      </c>
      <c r="C59" s="4">
        <f>Details!D59</f>
        <v>67000</v>
      </c>
      <c r="D59" s="464">
        <f>C59+Jan!C59</f>
        <v>116000</v>
      </c>
      <c r="E59" s="42">
        <f>D59/F59</f>
        <v>0.14683544303797469</v>
      </c>
      <c r="F59" s="46">
        <f>Details!W59</f>
        <v>790000</v>
      </c>
    </row>
    <row r="60" spans="1:6" ht="13.5" customHeight="1">
      <c r="A60" s="19">
        <v>60</v>
      </c>
      <c r="B60" s="24" t="str">
        <f>Details!B60</f>
        <v>Janitor</v>
      </c>
      <c r="C60" s="4">
        <f>Details!D60</f>
        <v>43703.59</v>
      </c>
      <c r="D60" s="464">
        <f>C60+Jan!C60</f>
        <v>66928.399999999994</v>
      </c>
      <c r="E60" s="42">
        <f>D60/F60</f>
        <v>0.14101728844177774</v>
      </c>
      <c r="F60" s="46">
        <f>Details!W60</f>
        <v>474611.31</v>
      </c>
    </row>
    <row r="61" spans="1:6">
      <c r="A61" s="19">
        <v>61</v>
      </c>
      <c r="B61" s="24" t="str">
        <f>Details!B61</f>
        <v>Appreciation service for Pastor</v>
      </c>
      <c r="C61" s="4">
        <f>Details!D61</f>
        <v>0</v>
      </c>
      <c r="D61" s="464">
        <f>C61+Jan!C61</f>
        <v>0</v>
      </c>
      <c r="E61" s="42"/>
      <c r="F61" s="46">
        <f>Details!W61</f>
        <v>0</v>
      </c>
    </row>
    <row r="62" spans="1:6">
      <c r="A62" s="19">
        <v>62</v>
      </c>
      <c r="B62" s="25" t="str">
        <f>Details!B62</f>
        <v>C. OPERATION COSTS</v>
      </c>
      <c r="C62" s="7">
        <f>Details!D62</f>
        <v>54914.189250000003</v>
      </c>
      <c r="D62" s="465">
        <f>C62+Jan!C62</f>
        <v>163268.21924999999</v>
      </c>
      <c r="E62" s="94">
        <f>D62/F62</f>
        <v>0.15278702905670971</v>
      </c>
      <c r="F62" s="261">
        <f>Details!W62</f>
        <v>1068600</v>
      </c>
    </row>
    <row r="63" spans="1:6">
      <c r="A63" s="19">
        <v>63</v>
      </c>
      <c r="B63" s="24" t="str">
        <f>Details!B63</f>
        <v>10th Year anniversary celebrations</v>
      </c>
      <c r="C63" s="4">
        <f>Details!D63</f>
        <v>0</v>
      </c>
      <c r="D63" s="464">
        <f>C63+Jan!C63</f>
        <v>0</v>
      </c>
      <c r="E63" s="42">
        <f>D63/F63</f>
        <v>0</v>
      </c>
      <c r="F63" s="46">
        <f>Details!W63</f>
        <v>200000</v>
      </c>
    </row>
    <row r="64" spans="1:6">
      <c r="A64" s="19">
        <v>64</v>
      </c>
      <c r="B64" s="24" t="str">
        <f>Details!B64</f>
        <v xml:space="preserve">Bank charges: sms, maintenance, VAT etc. </v>
      </c>
      <c r="C64" s="4">
        <f>Details!D64</f>
        <v>1914.19</v>
      </c>
      <c r="D64" s="464">
        <f>C64+Jan!C64</f>
        <v>3788.2200000000003</v>
      </c>
      <c r="E64" s="42">
        <f t="shared" ref="E64:E71" si="2">D64/F64</f>
        <v>0.1721918181818182</v>
      </c>
      <c r="F64" s="46">
        <f>Details!W64</f>
        <v>22000</v>
      </c>
    </row>
    <row r="65" spans="1:6">
      <c r="A65" s="19">
        <v>65</v>
      </c>
      <c r="B65" s="24" t="str">
        <f>Details!B65</f>
        <v>Church Council refreshments</v>
      </c>
      <c r="C65" s="4">
        <f>Details!D65</f>
        <v>4000</v>
      </c>
      <c r="D65" s="464">
        <f>C65+Jan!C65</f>
        <v>6000</v>
      </c>
      <c r="E65" s="42">
        <f t="shared" si="2"/>
        <v>0.25</v>
      </c>
      <c r="F65" s="46">
        <f>Details!W65</f>
        <v>24000</v>
      </c>
    </row>
    <row r="66" spans="1:6">
      <c r="A66" s="19">
        <v>66</v>
      </c>
      <c r="B66" s="24" t="str">
        <f>Details!B66</f>
        <v>Church secreteriat</v>
      </c>
      <c r="C66" s="4">
        <f>Details!D66</f>
        <v>4500</v>
      </c>
      <c r="D66" s="464">
        <f>C66+Jan!C66</f>
        <v>13430</v>
      </c>
      <c r="E66" s="42">
        <f t="shared" si="2"/>
        <v>0.22383333333333333</v>
      </c>
      <c r="F66" s="46">
        <f>Details!W66</f>
        <v>60000</v>
      </c>
    </row>
    <row r="67" spans="1:6">
      <c r="A67" s="19">
        <v>67</v>
      </c>
      <c r="B67" s="24" t="str">
        <f>Details!B67</f>
        <v>Convention session</v>
      </c>
      <c r="C67" s="4">
        <f>Details!D67</f>
        <v>10000</v>
      </c>
      <c r="D67" s="464">
        <f>C67+Jan!C67</f>
        <v>10000</v>
      </c>
      <c r="E67" s="42">
        <f t="shared" si="2"/>
        <v>0.5</v>
      </c>
      <c r="F67" s="46">
        <f>Details!W67</f>
        <v>20000</v>
      </c>
    </row>
    <row r="68" spans="1:6">
      <c r="A68" s="19">
        <v>68</v>
      </c>
      <c r="B68" s="24" t="str">
        <f>Details!B68</f>
        <v>Electricity - church auditorium</v>
      </c>
      <c r="C68" s="4">
        <f>Details!D68</f>
        <v>0</v>
      </c>
      <c r="D68" s="464">
        <f>C68+Jan!C68</f>
        <v>5000</v>
      </c>
      <c r="E68" s="42">
        <f t="shared" si="2"/>
        <v>0.15625</v>
      </c>
      <c r="F68" s="46">
        <f>Details!W68</f>
        <v>32000</v>
      </c>
    </row>
    <row r="69" spans="1:6">
      <c r="A69" s="19">
        <v>69</v>
      </c>
      <c r="B69" s="24" t="str">
        <f>Details!B69</f>
        <v>Electricity - Pastorium</v>
      </c>
      <c r="C69" s="4">
        <f>Details!D69</f>
        <v>0</v>
      </c>
      <c r="D69" s="464">
        <f>C69+Jan!C69</f>
        <v>10000</v>
      </c>
      <c r="E69" s="42">
        <f t="shared" si="2"/>
        <v>0.20833333333333334</v>
      </c>
      <c r="F69" s="46">
        <f>Details!W69</f>
        <v>48000</v>
      </c>
    </row>
    <row r="70" spans="1:6">
      <c r="A70" s="19">
        <v>70</v>
      </c>
      <c r="B70" s="24" t="str">
        <f>Details!B70</f>
        <v>Generators - fuel and maintenance church auditorium</v>
      </c>
      <c r="C70" s="4">
        <f>Details!D70</f>
        <v>15599.999250000001</v>
      </c>
      <c r="D70" s="464">
        <f>C70+Jan!C70</f>
        <v>33749.999250000001</v>
      </c>
      <c r="E70" s="42">
        <f t="shared" si="2"/>
        <v>0.12695837243651292</v>
      </c>
      <c r="F70" s="46">
        <f>Details!W70</f>
        <v>265835.15999999997</v>
      </c>
    </row>
    <row r="71" spans="1:6">
      <c r="A71" s="19">
        <v>71</v>
      </c>
      <c r="B71" s="24" t="str">
        <f>Details!B71</f>
        <v>Generators - fuel and maintenance pastorium</v>
      </c>
      <c r="C71" s="4">
        <f>Details!D71</f>
        <v>16400</v>
      </c>
      <c r="D71" s="464">
        <f>C71+Jan!C71</f>
        <v>32500</v>
      </c>
      <c r="E71" s="42">
        <f t="shared" si="2"/>
        <v>0.2934144083989107</v>
      </c>
      <c r="F71" s="46">
        <f>Details!W71</f>
        <v>110764.84</v>
      </c>
    </row>
    <row r="72" spans="1:6">
      <c r="A72" s="19">
        <v>72</v>
      </c>
      <c r="B72" s="24" t="str">
        <f>Details!B72</f>
        <v>Keep fit instructor</v>
      </c>
      <c r="C72" s="4">
        <f>Details!D72</f>
        <v>0</v>
      </c>
      <c r="D72" s="464">
        <f>C72+Jan!C72</f>
        <v>0</v>
      </c>
      <c r="E72" s="189"/>
      <c r="F72" s="46">
        <f>Details!W72</f>
        <v>0</v>
      </c>
    </row>
    <row r="73" spans="1:6">
      <c r="A73" s="19">
        <v>73</v>
      </c>
      <c r="B73" s="24" t="str">
        <f>Details!B73</f>
        <v xml:space="preserve">Ministers' Conference </v>
      </c>
      <c r="C73" s="4">
        <f>Details!D73</f>
        <v>0</v>
      </c>
      <c r="D73" s="464">
        <f>C73+Jan!C73</f>
        <v>0</v>
      </c>
      <c r="E73" s="42"/>
      <c r="F73" s="46">
        <f>Details!W73</f>
        <v>6000</v>
      </c>
    </row>
    <row r="74" spans="1:6" ht="30">
      <c r="A74" s="19">
        <v>74</v>
      </c>
      <c r="B74" s="26" t="str">
        <f>Details!B74</f>
        <v>Miscellanous (transport for CAN Minister, honorarium for supervisor)</v>
      </c>
      <c r="C74" s="47">
        <f>Details!D74</f>
        <v>2500</v>
      </c>
      <c r="D74" s="686">
        <f>C74+Jan!C74</f>
        <v>5000</v>
      </c>
      <c r="E74" s="685">
        <f>D74/F74</f>
        <v>0.1</v>
      </c>
      <c r="F74" s="46">
        <f>Details!W74</f>
        <v>50000</v>
      </c>
    </row>
    <row r="75" spans="1:6">
      <c r="A75" s="19">
        <v>75</v>
      </c>
      <c r="B75" s="24" t="str">
        <f>Details!B75</f>
        <v>Motorcycle</v>
      </c>
      <c r="C75" s="4">
        <f>Details!D75</f>
        <v>0</v>
      </c>
      <c r="D75" s="464">
        <f>C75+Jan!C75</f>
        <v>3800</v>
      </c>
      <c r="E75" s="42"/>
      <c r="F75" s="46">
        <f>Details!W75</f>
        <v>0</v>
      </c>
    </row>
    <row r="76" spans="1:6">
      <c r="A76" s="19">
        <v>76</v>
      </c>
      <c r="B76" s="24" t="str">
        <f>Details!B76</f>
        <v>Ogbomoso Conference</v>
      </c>
      <c r="C76" s="4">
        <f>Details!D76</f>
        <v>0</v>
      </c>
      <c r="D76" s="464">
        <f>C76+Jan!C76</f>
        <v>0</v>
      </c>
      <c r="E76" s="42">
        <f>D76/F76</f>
        <v>0</v>
      </c>
      <c r="F76" s="46">
        <f>Details!W76</f>
        <v>25000</v>
      </c>
    </row>
    <row r="77" spans="1:6">
      <c r="A77" s="19">
        <v>77</v>
      </c>
      <c r="B77" s="24" t="str">
        <f>Details!B77</f>
        <v xml:space="preserve">Pastorium rent &amp; maintenance </v>
      </c>
      <c r="C77" s="4">
        <f>Details!D77</f>
        <v>0</v>
      </c>
      <c r="D77" s="464">
        <f>C77+Jan!C77</f>
        <v>0</v>
      </c>
      <c r="E77" s="42"/>
      <c r="F77" s="46">
        <f>Details!W77</f>
        <v>150000</v>
      </c>
    </row>
    <row r="78" spans="1:6">
      <c r="A78" s="19">
        <v>78</v>
      </c>
      <c r="B78" s="24" t="str">
        <f>Details!B78</f>
        <v>Pastors Wives' retreat</v>
      </c>
      <c r="C78" s="4">
        <f>Details!D78</f>
        <v>0</v>
      </c>
      <c r="D78" s="464">
        <f>C78+Jan!C78</f>
        <v>0</v>
      </c>
      <c r="E78" s="42"/>
      <c r="F78" s="46">
        <f>Details!W78</f>
        <v>5000</v>
      </c>
    </row>
    <row r="79" spans="1:6">
      <c r="A79" s="19">
        <v>79</v>
      </c>
      <c r="B79" s="26" t="str">
        <f>Details!B79</f>
        <v>Workers' retreat organized by the church</v>
      </c>
      <c r="C79" s="4">
        <f>Details!D79</f>
        <v>0</v>
      </c>
      <c r="D79" s="468">
        <f>C79+Jan!C79</f>
        <v>40000</v>
      </c>
      <c r="E79" s="42">
        <f>D79/F79</f>
        <v>0.8</v>
      </c>
      <c r="F79" s="46">
        <f>Details!W79</f>
        <v>50000</v>
      </c>
    </row>
    <row r="80" spans="1:6">
      <c r="A80" s="19">
        <v>80</v>
      </c>
      <c r="B80" s="24"/>
      <c r="C80" s="4"/>
      <c r="D80" s="464"/>
      <c r="E80" s="42"/>
      <c r="F80" s="46">
        <f>Details!W80</f>
        <v>0</v>
      </c>
    </row>
    <row r="81" spans="1:6">
      <c r="A81" s="19">
        <v>81</v>
      </c>
      <c r="B81" s="25" t="str">
        <f>Details!B81</f>
        <v>D. NEW AUDITORIUM &amp; OTHER PROJECTS</v>
      </c>
      <c r="C81" s="7">
        <f>Details!D81</f>
        <v>1100636.3799999999</v>
      </c>
      <c r="D81" s="465">
        <f>C81+Jan!C81</f>
        <v>1837844.38</v>
      </c>
      <c r="E81" s="94">
        <f>D81/F81</f>
        <v>0.44264074662813102</v>
      </c>
      <c r="F81" s="261">
        <f>Details!W81</f>
        <v>4152000</v>
      </c>
    </row>
    <row r="82" spans="1:6">
      <c r="A82" s="19">
        <v>82</v>
      </c>
      <c r="B82" s="24" t="str">
        <f>Details!B82</f>
        <v>Bank charges - Access bank</v>
      </c>
      <c r="C82" s="4">
        <f>Details!D82</f>
        <v>336.38</v>
      </c>
      <c r="D82" s="464">
        <f>C82+Jan!C82</f>
        <v>344.38</v>
      </c>
      <c r="E82" s="545">
        <f>D82/F82</f>
        <v>0.17219000000000001</v>
      </c>
      <c r="F82" s="46">
        <f>Details!W82</f>
        <v>2000</v>
      </c>
    </row>
    <row r="83" spans="1:6">
      <c r="A83" s="19">
        <v>83</v>
      </c>
      <c r="B83" s="24" t="str">
        <f>Details!B83</f>
        <v>Borehole</v>
      </c>
      <c r="C83" s="4">
        <f>Details!D83</f>
        <v>320000</v>
      </c>
      <c r="D83" s="464">
        <f>C83+Jan!C83</f>
        <v>320000</v>
      </c>
      <c r="E83" s="190">
        <f>D83/F83</f>
        <v>0.49230769230769234</v>
      </c>
      <c r="F83" s="46">
        <f>Details!W83</f>
        <v>650000</v>
      </c>
    </row>
    <row r="84" spans="1:6">
      <c r="A84" s="19">
        <v>84</v>
      </c>
      <c r="B84" s="24" t="str">
        <f>Details!B84</f>
        <v>Development loan refund</v>
      </c>
      <c r="C84" s="4">
        <f>Details!D84</f>
        <v>0</v>
      </c>
      <c r="D84" s="464">
        <f>C84+Jan!C84</f>
        <v>0</v>
      </c>
      <c r="E84" s="42" t="e">
        <f>D84/F84</f>
        <v>#DIV/0!</v>
      </c>
      <c r="F84" s="46">
        <f>Details!W84</f>
        <v>0</v>
      </c>
    </row>
    <row r="85" spans="1:6">
      <c r="A85" s="19">
        <v>85</v>
      </c>
      <c r="B85" s="24" t="str">
        <f>Details!B85</f>
        <v>Gift-in-kind towards church auditorium</v>
      </c>
      <c r="C85" s="4">
        <f>Details!D85</f>
        <v>20800</v>
      </c>
      <c r="D85" s="464">
        <f>C85+Jan!C85</f>
        <v>20800</v>
      </c>
      <c r="E85" s="42"/>
      <c r="F85" s="46">
        <f>Details!W85</f>
        <v>0</v>
      </c>
    </row>
    <row r="86" spans="1:6">
      <c r="A86" s="19">
        <v>86</v>
      </c>
      <c r="B86" s="24" t="str">
        <f>Details!B86</f>
        <v>New  auditorium - block work, columns and roof beam</v>
      </c>
      <c r="C86" s="4">
        <f>Details!D86</f>
        <v>759500</v>
      </c>
      <c r="D86" s="464">
        <f>C86+Jan!C86</f>
        <v>1496700</v>
      </c>
      <c r="E86" s="42">
        <f>D86/F86</f>
        <v>0.42762857142857141</v>
      </c>
      <c r="F86" s="46">
        <f>Details!W86</f>
        <v>3500000</v>
      </c>
    </row>
    <row r="87" spans="1:6">
      <c r="A87" s="19">
        <v>87</v>
      </c>
      <c r="B87" s="24" t="str">
        <f>Details!B87</f>
        <v>Erection of new sign posts</v>
      </c>
      <c r="C87" s="4">
        <f>Details!D87</f>
        <v>0</v>
      </c>
      <c r="D87" s="464">
        <f>C87+Jan!C87</f>
        <v>0</v>
      </c>
      <c r="E87" s="42" t="e">
        <f>D87/F87</f>
        <v>#DIV/0!</v>
      </c>
    </row>
    <row r="88" spans="1:6" ht="18.75" customHeight="1">
      <c r="A88" s="19">
        <v>88</v>
      </c>
      <c r="B88" s="24"/>
      <c r="C88" s="4"/>
      <c r="D88" s="464"/>
      <c r="E88" s="42"/>
      <c r="F88" s="46"/>
    </row>
    <row r="89" spans="1:6">
      <c r="A89" s="19">
        <v>89</v>
      </c>
      <c r="B89" s="25" t="str">
        <f>Details!B89</f>
        <v>E. COOPERATIVE FUNDS</v>
      </c>
      <c r="C89" s="7">
        <f>Details!D89</f>
        <v>0</v>
      </c>
      <c r="D89" s="465">
        <f>C89+Jan!C89</f>
        <v>0</v>
      </c>
      <c r="E89" s="42">
        <f>D89/F89</f>
        <v>0</v>
      </c>
      <c r="F89" s="46">
        <f>Details!W89</f>
        <v>2421000</v>
      </c>
    </row>
    <row r="90" spans="1:6">
      <c r="A90" s="19">
        <v>90</v>
      </c>
      <c r="B90" s="24" t="str">
        <f>Details!B90</f>
        <v>Association contributions - 3% of tithes &amp; SS, thanksgiving and general offerings</v>
      </c>
      <c r="C90" s="4">
        <f>Details!D90</f>
        <v>0</v>
      </c>
      <c r="D90" s="464">
        <f>C90+Jan!C90</f>
        <v>0</v>
      </c>
      <c r="E90" s="94">
        <f>D90/F90</f>
        <v>0</v>
      </c>
      <c r="F90" s="397">
        <f>Details!W90</f>
        <v>242100</v>
      </c>
    </row>
    <row r="91" spans="1:6" ht="18" customHeight="1">
      <c r="A91" s="19">
        <v>91</v>
      </c>
      <c r="B91" s="24" t="str">
        <f>Details!B91</f>
        <v>Conference contributions - 7% of tithes &amp;  SS, thanksgiving and general offerings</v>
      </c>
      <c r="C91" s="4">
        <f>Details!D91</f>
        <v>0</v>
      </c>
      <c r="D91" s="465">
        <f>C91+Jan!C91</f>
        <v>0</v>
      </c>
      <c r="E91" s="547">
        <f>D91/F91</f>
        <v>0</v>
      </c>
      <c r="F91" s="548">
        <f>Details!W91</f>
        <v>564900</v>
      </c>
    </row>
    <row r="92" spans="1:6" ht="18.75" customHeight="1">
      <c r="A92" s="19">
        <v>92</v>
      </c>
      <c r="B92" s="24" t="str">
        <f>Details!B92</f>
        <v>Convention contributions - 20% of tithes &amp; SS, thanksgiving and general  offerings</v>
      </c>
      <c r="C92" s="4">
        <f>Details!D92</f>
        <v>0</v>
      </c>
      <c r="D92" s="468">
        <f>C92+Jan!C92</f>
        <v>0</v>
      </c>
      <c r="E92" s="133">
        <f>D92/F92</f>
        <v>0</v>
      </c>
      <c r="F92" s="548">
        <f>Details!W92</f>
        <v>1614000</v>
      </c>
    </row>
    <row r="93" spans="1:6" ht="18.75" customHeight="1">
      <c r="A93" s="19">
        <v>93</v>
      </c>
      <c r="B93" s="24"/>
      <c r="C93" s="4"/>
      <c r="D93" s="464">
        <f>C93+Jan!C93</f>
        <v>0</v>
      </c>
      <c r="E93" s="133"/>
      <c r="F93" s="548"/>
    </row>
    <row r="94" spans="1:6">
      <c r="A94" s="19">
        <v>94</v>
      </c>
      <c r="B94" s="25" t="str">
        <f>Details!B94</f>
        <v>F. DESIGNATED SAVINGS</v>
      </c>
      <c r="C94" s="4">
        <f>Details!D94</f>
        <v>100000</v>
      </c>
      <c r="D94" s="464">
        <f>C94+Jan!C94</f>
        <v>400000</v>
      </c>
      <c r="E94" s="42">
        <f>D94/F94</f>
        <v>0.83333333333333337</v>
      </c>
      <c r="F94" s="46">
        <f>Details!W94</f>
        <v>480000</v>
      </c>
    </row>
    <row r="95" spans="1:6">
      <c r="A95" s="19">
        <v>95</v>
      </c>
      <c r="B95" s="24" t="str">
        <f>Details!B95</f>
        <v>Pastorium (rent, development of land etc.)</v>
      </c>
      <c r="C95" s="4">
        <f>Details!D95</f>
        <v>0</v>
      </c>
      <c r="D95" s="464">
        <f>C95+Jan!C95</f>
        <v>0</v>
      </c>
      <c r="E95" s="133"/>
      <c r="F95" s="549">
        <f>Details!W95</f>
        <v>0</v>
      </c>
    </row>
    <row r="96" spans="1:6">
      <c r="A96" s="19">
        <v>96</v>
      </c>
      <c r="B96" s="24" t="str">
        <f>Details!B96</f>
        <v>New auditorium</v>
      </c>
      <c r="C96" s="4">
        <f>Details!D96</f>
        <v>100000</v>
      </c>
      <c r="D96" s="464">
        <f>C96+Jan!C96</f>
        <v>400000</v>
      </c>
      <c r="E96" s="133"/>
      <c r="F96" s="549">
        <f>Details!W96</f>
        <v>0</v>
      </c>
    </row>
    <row r="97" spans="1:6">
      <c r="A97" s="19">
        <v>97</v>
      </c>
      <c r="B97" s="24" t="str">
        <f>Details!B97</f>
        <v>Pastor's retirement 2025</v>
      </c>
      <c r="C97" s="4">
        <f>Details!D97</f>
        <v>0</v>
      </c>
      <c r="D97" s="464">
        <f>C97+Jan!C97</f>
        <v>0</v>
      </c>
      <c r="E97" s="133">
        <f>D97/F97</f>
        <v>0</v>
      </c>
      <c r="F97" s="688">
        <f>Details!W97</f>
        <v>480000</v>
      </c>
    </row>
    <row r="98" spans="1:6">
      <c r="A98" s="19">
        <v>98</v>
      </c>
      <c r="B98" s="25" t="str">
        <f>Details!B98</f>
        <v>Total Expenditure</v>
      </c>
      <c r="C98" s="7">
        <f>Details!D98</f>
        <v>1633527.83925</v>
      </c>
      <c r="D98" s="465">
        <f>C98+Jan!C98</f>
        <v>3014649.2092500003</v>
      </c>
      <c r="E98" s="133">
        <f>D98/F98</f>
        <v>0.21481021416583615</v>
      </c>
      <c r="F98" s="549">
        <f>Details!W98</f>
        <v>14034012.4</v>
      </c>
    </row>
    <row r="99" spans="1:6" ht="15.75" customHeight="1">
      <c r="A99" s="19">
        <v>99</v>
      </c>
      <c r="B99" s="26" t="str">
        <f>Details!B99</f>
        <v>Balances in the church's accounts plus imprest account</v>
      </c>
      <c r="C99" s="4">
        <f>Details!D99</f>
        <v>1152948.2799999998</v>
      </c>
      <c r="D99" s="464">
        <f>C99</f>
        <v>1152948.2799999998</v>
      </c>
      <c r="E99" s="133"/>
      <c r="F99" s="549">
        <f>Details!W99</f>
        <v>0</v>
      </c>
    </row>
    <row r="100" spans="1:6">
      <c r="A100" s="19">
        <v>100</v>
      </c>
      <c r="B100" s="24" t="str">
        <f>Details!B100</f>
        <v>First Bank of Nigeria</v>
      </c>
      <c r="C100" s="4">
        <f>Details!D100</f>
        <v>403815.45</v>
      </c>
      <c r="D100" s="464">
        <f t="shared" ref="D100:D107" si="3">C100</f>
        <v>403815.45</v>
      </c>
      <c r="E100" s="133"/>
      <c r="F100" s="549">
        <f>Details!W100</f>
        <v>0</v>
      </c>
    </row>
    <row r="101" spans="1:6" ht="16.5" customHeight="1">
      <c r="A101" s="19">
        <v>101</v>
      </c>
      <c r="B101" s="24" t="str">
        <f>Details!B101</f>
        <v>Add Cash/Cheque in-transit - FBN</v>
      </c>
      <c r="C101" s="4">
        <f>Details!D101</f>
        <v>203290</v>
      </c>
      <c r="D101" s="464">
        <f t="shared" si="3"/>
        <v>203290</v>
      </c>
      <c r="E101" s="135"/>
      <c r="F101" s="548">
        <f>Details!W101</f>
        <v>0</v>
      </c>
    </row>
    <row r="102" spans="1:6">
      <c r="A102" s="19">
        <v>102</v>
      </c>
      <c r="B102" s="24" t="str">
        <f>Details!B102</f>
        <v>Less Unpresented cheques - FBN</v>
      </c>
      <c r="C102" s="4">
        <f>Details!D102</f>
        <v>-100000</v>
      </c>
      <c r="D102" s="464">
        <f t="shared" si="3"/>
        <v>-100000</v>
      </c>
      <c r="E102" s="134"/>
      <c r="F102" s="548">
        <f>Details!W102</f>
        <v>0</v>
      </c>
    </row>
    <row r="103" spans="1:6">
      <c r="A103" s="19">
        <v>103</v>
      </c>
      <c r="B103" s="24" t="str">
        <f>Details!B103</f>
        <v>Randalpha MFB</v>
      </c>
      <c r="C103" s="4">
        <f>Details!D103</f>
        <v>56463.14</v>
      </c>
      <c r="D103" s="464">
        <f t="shared" si="3"/>
        <v>56463.14</v>
      </c>
      <c r="E103" s="134"/>
      <c r="F103" s="548">
        <f>Details!W103</f>
        <v>0</v>
      </c>
    </row>
    <row r="104" spans="1:6">
      <c r="A104" s="19">
        <v>104</v>
      </c>
      <c r="B104" s="24" t="str">
        <f>Details!B104</f>
        <v>Access Bank</v>
      </c>
      <c r="C104" s="4">
        <f>Details!D104</f>
        <v>578879.68999999994</v>
      </c>
      <c r="D104" s="464">
        <f t="shared" si="3"/>
        <v>578879.68999999994</v>
      </c>
      <c r="E104" s="134"/>
      <c r="F104" s="548">
        <f>Details!W104</f>
        <v>0</v>
      </c>
    </row>
    <row r="105" spans="1:6">
      <c r="A105" s="19">
        <v>105</v>
      </c>
      <c r="B105" s="24" t="str">
        <f>Details!B105</f>
        <v>Add Cash/Cheque in-transit - Access Bank</v>
      </c>
      <c r="C105" s="4">
        <f>Details!D105</f>
        <v>110000</v>
      </c>
      <c r="D105" s="464">
        <f t="shared" si="3"/>
        <v>110000</v>
      </c>
      <c r="E105" s="134"/>
      <c r="F105" s="548">
        <f>Details!W105</f>
        <v>0</v>
      </c>
    </row>
    <row r="106" spans="1:6">
      <c r="A106" s="19">
        <v>106</v>
      </c>
      <c r="B106" s="24" t="str">
        <f>Details!B106</f>
        <v>Less Uncleared cheque - Access Bank</v>
      </c>
      <c r="C106" s="4">
        <f>Details!D106</f>
        <v>-100500</v>
      </c>
      <c r="D106" s="464">
        <f t="shared" si="3"/>
        <v>-100500</v>
      </c>
      <c r="E106" s="134"/>
      <c r="F106" s="548">
        <f>Details!W106</f>
        <v>0</v>
      </c>
    </row>
    <row r="107" spans="1:6">
      <c r="A107" s="19">
        <v>107</v>
      </c>
      <c r="B107" s="24" t="str">
        <f>Details!B107</f>
        <v>Imprest account (cash on hand)</v>
      </c>
      <c r="C107" s="4">
        <f>Details!D107</f>
        <v>1000</v>
      </c>
      <c r="D107" s="464">
        <f t="shared" si="3"/>
        <v>1000</v>
      </c>
      <c r="E107" s="134"/>
      <c r="F107" s="548">
        <f>Details!W107</f>
        <v>0</v>
      </c>
    </row>
    <row r="108" spans="1:6">
      <c r="A108" s="19">
        <v>108</v>
      </c>
      <c r="B108" s="25" t="str">
        <f>Details!B108</f>
        <v>CONSOLIDATED INCOME &amp; EXPENDITURE REPORT</v>
      </c>
      <c r="C108" s="4"/>
      <c r="D108" s="464">
        <f>C108+Jan!C108</f>
        <v>0</v>
      </c>
      <c r="E108" s="134"/>
      <c r="F108" s="548">
        <f>Details!W108</f>
        <v>0</v>
      </c>
    </row>
    <row r="109" spans="1:6" ht="19.5" customHeight="1">
      <c r="A109" s="19">
        <v>109</v>
      </c>
      <c r="B109" s="25" t="str">
        <f>Details!B109</f>
        <v>Income from all sources, including B/F from 2020</v>
      </c>
      <c r="C109" s="7">
        <f>Details!D109</f>
        <v>2686476.12</v>
      </c>
      <c r="D109" s="465">
        <f>D25</f>
        <v>3767597.49</v>
      </c>
      <c r="E109" s="133">
        <f>D109/F109</f>
        <v>0.30163526959604886</v>
      </c>
      <c r="F109" s="548">
        <f>Details!W109</f>
        <v>12490573.450000001</v>
      </c>
    </row>
    <row r="110" spans="1:6" ht="17.25" customHeight="1">
      <c r="A110" s="19">
        <v>110</v>
      </c>
      <c r="B110" s="24" t="str">
        <f>Details!B110</f>
        <v>Total expenditure on new auditorium</v>
      </c>
      <c r="C110" s="4">
        <f>Details!D110</f>
        <v>780636.38</v>
      </c>
      <c r="D110" s="464">
        <f>C110+Jan!C110</f>
        <v>1517844.38</v>
      </c>
      <c r="E110" s="94">
        <f>D110/F110</f>
        <v>0.43342215305539689</v>
      </c>
      <c r="F110" s="549">
        <f>Details!W110</f>
        <v>3502000</v>
      </c>
    </row>
    <row r="111" spans="1:6" s="61" customFormat="1" ht="30.75" customHeight="1">
      <c r="A111" s="19">
        <v>111</v>
      </c>
      <c r="B111" s="414" t="str">
        <f>Details!B111</f>
        <v>General expenditure including amount transferred to building fund</v>
      </c>
      <c r="C111" s="47">
        <f>Details!D111</f>
        <v>852891.45925000007</v>
      </c>
      <c r="D111" s="468">
        <f>C111+Jan!C111</f>
        <v>1496804.8292500002</v>
      </c>
      <c r="E111" s="689">
        <f>D111/F111</f>
        <v>0.10665551565637779</v>
      </c>
      <c r="F111" s="687">
        <f>Details!W111</f>
        <v>14034012.4</v>
      </c>
    </row>
    <row r="112" spans="1:6" ht="20.25" customHeight="1">
      <c r="A112" s="19">
        <v>112</v>
      </c>
      <c r="B112" s="27" t="str">
        <f>Details!B112</f>
        <v>Total expenditure: new auditorium &amp; general</v>
      </c>
      <c r="C112" s="7">
        <f>Details!D112</f>
        <v>1633527.8392500002</v>
      </c>
      <c r="D112" s="465">
        <f>C112+Jan!C112</f>
        <v>3014649.2092500003</v>
      </c>
      <c r="E112" s="42">
        <f>D112/F112</f>
        <v>0.21481021416583615</v>
      </c>
      <c r="F112" s="548">
        <f>Details!W112</f>
        <v>14034012.4</v>
      </c>
    </row>
    <row r="113" spans="1:6" ht="15.75" thickBot="1">
      <c r="A113" s="19">
        <v>113</v>
      </c>
      <c r="B113" s="191" t="str">
        <f>Details!B113</f>
        <v>Control</v>
      </c>
      <c r="C113" s="192">
        <f>Details!D113</f>
        <v>-99999.999249999877</v>
      </c>
      <c r="D113" s="470">
        <f>C113+Jan!C113</f>
        <v>-399999.99924999964</v>
      </c>
      <c r="E113" s="551"/>
      <c r="F113" s="548">
        <f>Details!W113</f>
        <v>0</v>
      </c>
    </row>
    <row r="114" spans="1:6" ht="14.25" customHeight="1" thickTop="1">
      <c r="A114" s="469"/>
      <c r="B114" s="744"/>
      <c r="C114" s="745"/>
      <c r="D114" s="746"/>
    </row>
    <row r="115" spans="1:6">
      <c r="A115" s="18"/>
      <c r="B115" s="750"/>
      <c r="C115" s="751"/>
      <c r="D115" s="752"/>
    </row>
    <row r="116" spans="1:6" ht="16.5" customHeight="1">
      <c r="A116" s="18"/>
      <c r="B116" s="747"/>
      <c r="C116" s="748"/>
      <c r="D116" s="749"/>
    </row>
    <row r="117" spans="1:6" ht="33.75" customHeight="1" thickBot="1">
      <c r="A117" s="92"/>
      <c r="B117" s="741"/>
      <c r="C117" s="742"/>
      <c r="D117" s="743"/>
    </row>
    <row r="118" spans="1:6" ht="15.75" thickTop="1">
      <c r="B118" s="28"/>
    </row>
  </sheetData>
  <mergeCells count="7">
    <mergeCell ref="B117:D117"/>
    <mergeCell ref="B114:D114"/>
    <mergeCell ref="B116:D116"/>
    <mergeCell ref="B115:D115"/>
    <mergeCell ref="A1:D1"/>
    <mergeCell ref="A2:D2"/>
    <mergeCell ref="A3:D3"/>
  </mergeCells>
  <pageMargins left="0.7" right="0.7" top="0.75" bottom="0.75" header="0.3" footer="0.3"/>
  <pageSetup paperSize="9" scale="63" fitToHeight="2" orientation="portrait" r:id="rId1"/>
  <headerFooter>
    <oddFooter>&amp;R&amp;P</oddFooter>
  </headerFooter>
  <rowBreaks count="1" manualBreakCount="1">
    <brk id="61" max="5" man="1"/>
  </rowBreaks>
</worksheet>
</file>

<file path=xl/worksheets/sheet9.xml><?xml version="1.0" encoding="utf-8"?>
<worksheet xmlns="http://schemas.openxmlformats.org/spreadsheetml/2006/main" xmlns:r="http://schemas.openxmlformats.org/officeDocument/2006/relationships">
  <sheetPr>
    <pageSetUpPr fitToPage="1"/>
  </sheetPr>
  <dimension ref="A1:Q115"/>
  <sheetViews>
    <sheetView view="pageBreakPreview" zoomScaleSheetLayoutView="100" workbookViewId="0">
      <pane xSplit="2" ySplit="5" topLeftCell="C6" activePane="bottomRight" state="frozen"/>
      <selection pane="topRight" activeCell="C1" sqref="C1"/>
      <selection pane="bottomLeft" activeCell="A6" sqref="A6"/>
      <selection pane="bottomRight" sqref="A1:XFD1048576"/>
    </sheetView>
  </sheetViews>
  <sheetFormatPr defaultRowHeight="17.25"/>
  <cols>
    <col min="1" max="1" width="5.7109375" customWidth="1"/>
    <col min="2" max="2" width="41.85546875" style="12" customWidth="1"/>
    <col min="3" max="3" width="18.28515625" customWidth="1"/>
    <col min="4" max="4" width="18.42578125" customWidth="1"/>
    <col min="5" max="5" width="15.42578125" style="12" customWidth="1"/>
    <col min="6" max="6" width="24" customWidth="1"/>
    <col min="7" max="7" width="17.7109375" customWidth="1"/>
  </cols>
  <sheetData>
    <row r="1" spans="1:7" ht="18" thickTop="1">
      <c r="A1" s="735" t="s">
        <v>30</v>
      </c>
      <c r="B1" s="736"/>
      <c r="C1" s="736"/>
      <c r="D1" s="736"/>
      <c r="E1" s="737"/>
    </row>
    <row r="2" spans="1:7">
      <c r="A2" s="738" t="s">
        <v>210</v>
      </c>
      <c r="B2" s="739"/>
      <c r="C2" s="739"/>
      <c r="D2" s="739"/>
      <c r="E2" s="740"/>
    </row>
    <row r="3" spans="1:7">
      <c r="A3" s="738" t="s">
        <v>220</v>
      </c>
      <c r="B3" s="739"/>
      <c r="C3" s="739"/>
      <c r="D3" s="739"/>
      <c r="E3" s="740"/>
    </row>
    <row r="4" spans="1:7">
      <c r="A4" s="18"/>
      <c r="B4" s="701"/>
      <c r="C4" s="3"/>
      <c r="D4" s="417"/>
      <c r="E4" s="704"/>
    </row>
    <row r="5" spans="1:7" ht="44.25" customHeight="1">
      <c r="A5" s="725" t="s">
        <v>233</v>
      </c>
      <c r="B5" s="106"/>
      <c r="C5" s="106" t="s">
        <v>92</v>
      </c>
      <c r="D5" s="127" t="s">
        <v>41</v>
      </c>
      <c r="E5" s="705" t="s">
        <v>68</v>
      </c>
      <c r="F5" s="62" t="s">
        <v>69</v>
      </c>
    </row>
    <row r="6" spans="1:7">
      <c r="A6" s="19">
        <v>1</v>
      </c>
      <c r="B6" s="67" t="str">
        <f>Details!B6</f>
        <v>Bank interest</v>
      </c>
      <c r="C6" s="68">
        <f>Details!E6</f>
        <v>93.12</v>
      </c>
      <c r="D6" s="128">
        <f>C6+Feb!D6</f>
        <v>185.16</v>
      </c>
      <c r="E6" s="706">
        <f>D6/F6</f>
        <v>0.30859999999999999</v>
      </c>
      <c r="F6" s="46">
        <f>Details!W6</f>
        <v>600</v>
      </c>
      <c r="G6" s="3">
        <v>1175604</v>
      </c>
    </row>
    <row r="7" spans="1:7">
      <c r="A7" s="19">
        <v>2</v>
      </c>
      <c r="B7" s="67" t="str">
        <f>Details!B7</f>
        <v>Benevolence</v>
      </c>
      <c r="C7" s="68">
        <f>Details!E7</f>
        <v>22415</v>
      </c>
      <c r="D7" s="128">
        <f>C7+Feb!D7</f>
        <v>62115</v>
      </c>
      <c r="E7" s="706">
        <f t="shared" ref="E7:E70" si="0">D7/F7</f>
        <v>0.41410000000000002</v>
      </c>
      <c r="F7" s="46">
        <f>Details!W7</f>
        <v>150000</v>
      </c>
      <c r="G7" s="3">
        <v>166620</v>
      </c>
    </row>
    <row r="8" spans="1:7">
      <c r="A8" s="19">
        <v>3</v>
      </c>
      <c r="B8" s="67" t="str">
        <f>Details!B8</f>
        <v>Building (cash and kind)</v>
      </c>
      <c r="C8" s="68">
        <f>Details!E8</f>
        <v>5000</v>
      </c>
      <c r="D8" s="128">
        <f>C8+Feb!D8</f>
        <v>42800</v>
      </c>
      <c r="E8" s="706">
        <f t="shared" si="0"/>
        <v>2.1399999999999999E-2</v>
      </c>
      <c r="F8" s="46">
        <f>Details!W8</f>
        <v>2000000</v>
      </c>
      <c r="G8" s="3">
        <v>62355</v>
      </c>
    </row>
    <row r="9" spans="1:7">
      <c r="A9" s="19">
        <v>4</v>
      </c>
      <c r="B9" s="67" t="str">
        <f>Details!B9</f>
        <v>Designated offering towards borehole</v>
      </c>
      <c r="C9" s="68">
        <f>Details!E9</f>
        <v>43000</v>
      </c>
      <c r="D9" s="128">
        <f>C9+Feb!D9</f>
        <v>418000</v>
      </c>
      <c r="E9" s="706">
        <f t="shared" si="0"/>
        <v>4.18</v>
      </c>
      <c r="F9" s="46">
        <f>Details!W9</f>
        <v>100000</v>
      </c>
      <c r="G9" s="3">
        <v>31165</v>
      </c>
    </row>
    <row r="10" spans="1:7">
      <c r="A10" s="19">
        <v>5</v>
      </c>
      <c r="B10" s="67" t="str">
        <f>Details!B10</f>
        <v>Designated offering towards Praise Festival</v>
      </c>
      <c r="C10" s="68">
        <f>Details!E10</f>
        <v>0</v>
      </c>
      <c r="D10" s="128">
        <f>C10+Feb!D10</f>
        <v>0</v>
      </c>
      <c r="E10" s="706"/>
      <c r="F10" s="46">
        <f>Details!W10</f>
        <v>0</v>
      </c>
      <c r="G10" s="3">
        <v>204566</v>
      </c>
    </row>
    <row r="11" spans="1:7">
      <c r="A11" s="19">
        <v>6</v>
      </c>
      <c r="B11" s="67" t="str">
        <f>Details!B11</f>
        <v>Foreign Mission offering</v>
      </c>
      <c r="C11" s="68">
        <f>Details!E11</f>
        <v>0</v>
      </c>
      <c r="D11" s="128">
        <f>C11+Feb!D11</f>
        <v>0</v>
      </c>
      <c r="E11" s="706"/>
      <c r="F11" s="46">
        <f>Details!W11</f>
        <v>0</v>
      </c>
      <c r="G11" s="3">
        <v>21110</v>
      </c>
    </row>
    <row r="12" spans="1:7">
      <c r="A12" s="19">
        <v>7</v>
      </c>
      <c r="B12" s="67" t="str">
        <f>Details!B12</f>
        <v>Home Mission offering</v>
      </c>
      <c r="C12" s="68">
        <f>Details!E12</f>
        <v>0</v>
      </c>
      <c r="D12" s="128">
        <f>C12+Feb!D12</f>
        <v>100000</v>
      </c>
      <c r="E12" s="706">
        <f t="shared" si="0"/>
        <v>0.33333333333333331</v>
      </c>
      <c r="F12" s="46">
        <f>Details!W12</f>
        <v>300000</v>
      </c>
      <c r="G12" s="3">
        <v>86.94</v>
      </c>
    </row>
    <row r="13" spans="1:7">
      <c r="A13" s="19">
        <v>8</v>
      </c>
      <c r="B13" s="67" t="str">
        <f>Details!B13</f>
        <v>Designated - Church signpost</v>
      </c>
      <c r="C13" s="68">
        <f>Details!E13</f>
        <v>0</v>
      </c>
      <c r="D13" s="128">
        <f>C13+Feb!D13</f>
        <v>0</v>
      </c>
      <c r="E13" s="706"/>
      <c r="F13" s="46">
        <f>Details!W13</f>
        <v>0</v>
      </c>
      <c r="G13" s="3">
        <v>500</v>
      </c>
    </row>
    <row r="14" spans="1:7">
      <c r="A14" s="19">
        <v>9</v>
      </c>
      <c r="B14" s="67" t="str">
        <f>Details!B14</f>
        <v>Designated - Teenagers' Church</v>
      </c>
      <c r="C14" s="68">
        <f>Details!E14</f>
        <v>0</v>
      </c>
      <c r="D14" s="128">
        <f>C14+Feb!D14</f>
        <v>0</v>
      </c>
      <c r="E14" s="706">
        <f t="shared" si="0"/>
        <v>0</v>
      </c>
      <c r="F14" s="46">
        <f>Details!W14</f>
        <v>50000</v>
      </c>
      <c r="G14" s="3">
        <v>234907.01</v>
      </c>
    </row>
    <row r="15" spans="1:7">
      <c r="A15" s="19">
        <v>10</v>
      </c>
      <c r="B15" s="67" t="str">
        <f>Details!B15</f>
        <v>Offering</v>
      </c>
      <c r="C15" s="68">
        <f>Details!E15</f>
        <v>75650</v>
      </c>
      <c r="D15" s="128">
        <f>C15+Feb!D15</f>
        <v>269335</v>
      </c>
      <c r="E15" s="706">
        <f t="shared" si="0"/>
        <v>0.26933499999999999</v>
      </c>
      <c r="F15" s="46">
        <f>Details!W15</f>
        <v>1000000</v>
      </c>
      <c r="G15" s="3">
        <v>17232.09</v>
      </c>
    </row>
    <row r="16" spans="1:7">
      <c r="A16" s="19">
        <v>11</v>
      </c>
      <c r="B16" s="67" t="str">
        <f>Details!B16</f>
        <v xml:space="preserve">Sunday School </v>
      </c>
      <c r="C16" s="68">
        <f>Details!E16</f>
        <v>17330</v>
      </c>
      <c r="D16" s="128">
        <f>C16+Feb!D16</f>
        <v>60365</v>
      </c>
      <c r="E16" s="706">
        <f t="shared" si="0"/>
        <v>0.35508823529411765</v>
      </c>
      <c r="F16" s="46">
        <f>Details!W16</f>
        <v>170000</v>
      </c>
      <c r="G16" s="3">
        <v>245709</v>
      </c>
    </row>
    <row r="17" spans="1:7">
      <c r="A17" s="19">
        <v>12</v>
      </c>
      <c r="B17" s="67" t="str">
        <f>Details!B17</f>
        <v>Thanksgiving</v>
      </c>
      <c r="C17" s="68">
        <f>Details!E17</f>
        <v>57510</v>
      </c>
      <c r="D17" s="128">
        <f>C17+Feb!D17</f>
        <v>125630</v>
      </c>
      <c r="E17" s="706">
        <f t="shared" si="0"/>
        <v>0.31407499999999999</v>
      </c>
      <c r="F17" s="46">
        <f>Details!W17</f>
        <v>400000</v>
      </c>
      <c r="G17" s="3">
        <v>23250</v>
      </c>
    </row>
    <row r="18" spans="1:7" s="9" customFormat="1">
      <c r="A18" s="19">
        <v>13</v>
      </c>
      <c r="B18" s="67" t="str">
        <f>Details!B18</f>
        <v>Tithes</v>
      </c>
      <c r="C18" s="68">
        <f>Details!E18</f>
        <v>810975</v>
      </c>
      <c r="D18" s="128">
        <f>C18+Feb!D18</f>
        <v>1901167</v>
      </c>
      <c r="E18" s="706">
        <f t="shared" si="0"/>
        <v>0.29248723076923078</v>
      </c>
      <c r="F18" s="46">
        <f>Details!W18</f>
        <v>6500000</v>
      </c>
    </row>
    <row r="19" spans="1:7" s="9" customFormat="1">
      <c r="A19" s="19">
        <v>14</v>
      </c>
      <c r="B19" s="72" t="str">
        <f>Details!B19</f>
        <v>Total income this reporting period</v>
      </c>
      <c r="C19" s="101">
        <f>Details!E19</f>
        <v>1031973.12</v>
      </c>
      <c r="D19" s="129">
        <f>C19+Feb!D19</f>
        <v>2979597.16</v>
      </c>
      <c r="E19" s="707">
        <f t="shared" si="0"/>
        <v>0.27923426611437036</v>
      </c>
      <c r="F19" s="46">
        <f>Details!W19</f>
        <v>10670600</v>
      </c>
    </row>
    <row r="20" spans="1:7" s="61" customFormat="1" ht="34.5">
      <c r="A20" s="413">
        <v>15</v>
      </c>
      <c r="B20" s="702" t="str">
        <f>Details!B20</f>
        <v>B/F from previous month/quarter: First Bank of Nigeria</v>
      </c>
      <c r="C20" s="96">
        <f>Details!E20</f>
        <v>507105.44999999995</v>
      </c>
      <c r="D20" s="131">
        <f>Details!C20</f>
        <v>286762.07</v>
      </c>
      <c r="E20" s="708"/>
      <c r="F20" s="345">
        <f>Details!W20</f>
        <v>286762.07</v>
      </c>
      <c r="G20" s="89">
        <v>521098.1</v>
      </c>
    </row>
    <row r="21" spans="1:7">
      <c r="A21" s="19">
        <v>16</v>
      </c>
      <c r="B21" s="67" t="str">
        <f>Details!B21</f>
        <v xml:space="preserve">                               Randalapha MFB</v>
      </c>
      <c r="C21" s="68">
        <f>Details!E21</f>
        <v>56463.14</v>
      </c>
      <c r="D21" s="128">
        <f>Details!C21</f>
        <v>16787.310000000001</v>
      </c>
      <c r="E21" s="706"/>
      <c r="F21" s="46">
        <f>Details!W21</f>
        <v>16787.310000000001</v>
      </c>
      <c r="G21" s="3">
        <v>2183105.04</v>
      </c>
    </row>
    <row r="22" spans="1:7">
      <c r="A22" s="19">
        <v>17</v>
      </c>
      <c r="B22" s="67" t="str">
        <f>Details!B22</f>
        <v xml:space="preserve">                               Access Bank (Building fund)</v>
      </c>
      <c r="C22" s="68">
        <f>Details!E22</f>
        <v>588379.68999999994</v>
      </c>
      <c r="D22" s="128">
        <f>Details!C22</f>
        <v>1513424.07</v>
      </c>
      <c r="E22" s="706"/>
      <c r="F22" s="46">
        <f>Details!W22</f>
        <v>1513424.07</v>
      </c>
      <c r="G22" s="3"/>
    </row>
    <row r="23" spans="1:7">
      <c r="A23" s="19">
        <v>18</v>
      </c>
      <c r="B23" s="67" t="str">
        <f>Details!B23</f>
        <v xml:space="preserve">                               Imprest Account (Cash on hand)</v>
      </c>
      <c r="C23" s="68">
        <f>Details!E23</f>
        <v>1000</v>
      </c>
      <c r="D23" s="128">
        <f>Details!C23</f>
        <v>3000</v>
      </c>
      <c r="E23" s="706"/>
      <c r="F23" s="46">
        <f>Details!W23</f>
        <v>3000</v>
      </c>
      <c r="G23" s="3">
        <v>163965</v>
      </c>
    </row>
    <row r="24" spans="1:7" s="9" customFormat="1">
      <c r="A24" s="19">
        <v>19</v>
      </c>
      <c r="B24" s="69" t="str">
        <f>Details!B24</f>
        <v>Total B/F from 2020 or last month or quarter</v>
      </c>
      <c r="C24" s="101">
        <f>Details!E24</f>
        <v>1152948.2799999998</v>
      </c>
      <c r="D24" s="129">
        <f>Details!C24</f>
        <v>1819973.4500000002</v>
      </c>
      <c r="E24" s="707"/>
      <c r="F24" s="46">
        <f>Details!W24</f>
        <v>1819973.4500000002</v>
      </c>
      <c r="G24" s="188">
        <v>16320</v>
      </c>
    </row>
    <row r="25" spans="1:7">
      <c r="A25" s="19">
        <v>20</v>
      </c>
      <c r="B25" s="69" t="str">
        <f>Details!B25</f>
        <v>Total Income/Available cash</v>
      </c>
      <c r="C25" s="101">
        <f>Details!E25</f>
        <v>2184921.3999999994</v>
      </c>
      <c r="D25" s="129">
        <f>D19+D24</f>
        <v>4799570.6100000003</v>
      </c>
      <c r="E25" s="707">
        <f t="shared" si="0"/>
        <v>0.38425542503815147</v>
      </c>
      <c r="F25" s="46">
        <f>Details!W25</f>
        <v>12490573.450000001</v>
      </c>
      <c r="G25" s="3">
        <v>65550</v>
      </c>
    </row>
    <row r="26" spans="1:7" s="9" customFormat="1">
      <c r="A26" s="19">
        <v>21</v>
      </c>
      <c r="B26" s="69" t="str">
        <f>Details!B26</f>
        <v>EXPENDITURE</v>
      </c>
      <c r="C26" s="68"/>
      <c r="D26" s="128"/>
      <c r="E26" s="706"/>
      <c r="F26" s="46">
        <f>Details!W26</f>
        <v>0</v>
      </c>
      <c r="G26" s="188">
        <v>0</v>
      </c>
    </row>
    <row r="27" spans="1:7">
      <c r="A27" s="19">
        <v>22</v>
      </c>
      <c r="B27" s="69" t="str">
        <f>Details!B27</f>
        <v>A. CHURCH MINISTRIES</v>
      </c>
      <c r="C27" s="101">
        <f>Details!E27</f>
        <v>394890</v>
      </c>
      <c r="D27" s="129">
        <f>C27+Feb!D27</f>
        <v>612630</v>
      </c>
      <c r="E27" s="707">
        <f t="shared" si="0"/>
        <v>0.20335590519816771</v>
      </c>
      <c r="F27" s="46">
        <f>Details!W27</f>
        <v>3012600</v>
      </c>
      <c r="G27" s="3">
        <v>4700</v>
      </c>
    </row>
    <row r="28" spans="1:7">
      <c r="A28" s="19">
        <v>23</v>
      </c>
      <c r="B28" s="67" t="str">
        <f>Details!B28</f>
        <v>Benevolence</v>
      </c>
      <c r="C28" s="68">
        <f>Details!E28</f>
        <v>104940</v>
      </c>
      <c r="D28" s="128">
        <f>C28+Feb!D28</f>
        <v>104940</v>
      </c>
      <c r="E28" s="706">
        <f t="shared" si="0"/>
        <v>0.29394957983193276</v>
      </c>
      <c r="F28" s="46">
        <f>Details!W28</f>
        <v>357000</v>
      </c>
      <c r="G28" s="3">
        <v>0</v>
      </c>
    </row>
    <row r="29" spans="1:7">
      <c r="A29" s="19">
        <v>24</v>
      </c>
      <c r="B29" s="67" t="str">
        <f>Details!B29</f>
        <v>Childrens' Department</v>
      </c>
      <c r="C29" s="68">
        <f>Details!E29</f>
        <v>57500</v>
      </c>
      <c r="D29" s="128">
        <f>C29+Feb!D29</f>
        <v>64440</v>
      </c>
      <c r="E29" s="706">
        <f t="shared" si="0"/>
        <v>0.24409090909090908</v>
      </c>
      <c r="F29" s="46">
        <f>Details!W29</f>
        <v>264000</v>
      </c>
      <c r="G29" s="3">
        <v>0</v>
      </c>
    </row>
    <row r="30" spans="1:7">
      <c r="A30" s="19">
        <v>25</v>
      </c>
      <c r="B30" s="67" t="str">
        <f>Details!B30</f>
        <v>Church decorations</v>
      </c>
      <c r="C30" s="68">
        <f>Details!E30</f>
        <v>0</v>
      </c>
      <c r="D30" s="128">
        <f>C30+Feb!D30</f>
        <v>0</v>
      </c>
      <c r="E30" s="706">
        <f t="shared" si="0"/>
        <v>0</v>
      </c>
      <c r="F30" s="46">
        <f>Details!W30</f>
        <v>25000</v>
      </c>
      <c r="G30" s="3">
        <v>21545</v>
      </c>
    </row>
    <row r="31" spans="1:7">
      <c r="A31" s="19">
        <v>26</v>
      </c>
      <c r="B31" s="67" t="str">
        <f>Details!B31</f>
        <v>Church Maintenance</v>
      </c>
      <c r="C31" s="68">
        <f>Details!E31</f>
        <v>0</v>
      </c>
      <c r="D31" s="128">
        <f>C31+Feb!D31</f>
        <v>0</v>
      </c>
      <c r="E31" s="706">
        <f t="shared" si="0"/>
        <v>0</v>
      </c>
      <c r="F31" s="46">
        <f>Details!W31</f>
        <v>20000</v>
      </c>
      <c r="G31" s="3">
        <v>4500</v>
      </c>
    </row>
    <row r="32" spans="1:7">
      <c r="A32" s="19">
        <v>27</v>
      </c>
      <c r="B32" s="67" t="str">
        <f>Details!B32</f>
        <v>Diaconate</v>
      </c>
      <c r="C32" s="68">
        <f>Details!E32</f>
        <v>0</v>
      </c>
      <c r="D32" s="128">
        <f>C32+Feb!D32</f>
        <v>0</v>
      </c>
      <c r="E32" s="706">
        <f t="shared" si="0"/>
        <v>0</v>
      </c>
      <c r="F32" s="46">
        <f>Details!W32</f>
        <v>20000</v>
      </c>
      <c r="G32" s="3">
        <v>6000</v>
      </c>
    </row>
    <row r="33" spans="1:7">
      <c r="A33" s="19">
        <v>28</v>
      </c>
      <c r="B33" s="67" t="str">
        <f>Details!B33</f>
        <v>Discipleship Department</v>
      </c>
      <c r="C33" s="68">
        <f>Details!E33</f>
        <v>0</v>
      </c>
      <c r="D33" s="128">
        <f>C33+Feb!D33</f>
        <v>0</v>
      </c>
      <c r="E33" s="706">
        <f t="shared" si="0"/>
        <v>0</v>
      </c>
      <c r="F33" s="46">
        <f>Details!W33</f>
        <v>15000</v>
      </c>
      <c r="G33" s="3">
        <v>0</v>
      </c>
    </row>
    <row r="34" spans="1:7">
      <c r="A34" s="19">
        <v>29</v>
      </c>
      <c r="B34" s="67" t="str">
        <f>Details!B34</f>
        <v>Drama Committee</v>
      </c>
      <c r="C34" s="68">
        <f>Details!E34</f>
        <v>0</v>
      </c>
      <c r="D34" s="128">
        <f>C34+Feb!D34</f>
        <v>0</v>
      </c>
      <c r="E34" s="706">
        <f t="shared" si="0"/>
        <v>0</v>
      </c>
      <c r="F34" s="46">
        <f>Details!W34</f>
        <v>35000</v>
      </c>
      <c r="G34" s="3">
        <v>6750</v>
      </c>
    </row>
    <row r="35" spans="1:7">
      <c r="A35" s="19">
        <v>30</v>
      </c>
      <c r="B35" s="67" t="str">
        <f>Details!B35</f>
        <v>End of year outreach - Heaven's Link Praise Festival</v>
      </c>
      <c r="C35" s="68">
        <f>Details!E35</f>
        <v>0</v>
      </c>
      <c r="D35" s="128">
        <f>C35+Feb!D35</f>
        <v>0</v>
      </c>
      <c r="E35" s="706">
        <f t="shared" si="0"/>
        <v>0</v>
      </c>
      <c r="F35" s="46">
        <f>Details!W35</f>
        <v>130000</v>
      </c>
      <c r="G35" s="3">
        <v>11600</v>
      </c>
    </row>
    <row r="36" spans="1:7">
      <c r="A36" s="19">
        <v>31</v>
      </c>
      <c r="B36" s="67" t="str">
        <f>Details!B36</f>
        <v>Evangelism Committee</v>
      </c>
      <c r="C36" s="68">
        <f>Details!E36</f>
        <v>106400</v>
      </c>
      <c r="D36" s="128">
        <f>C36+Feb!D36</f>
        <v>106400</v>
      </c>
      <c r="E36" s="706">
        <f t="shared" si="0"/>
        <v>0.21279999999999999</v>
      </c>
      <c r="F36" s="46">
        <f>Details!W36</f>
        <v>500000</v>
      </c>
      <c r="G36" s="3">
        <v>0</v>
      </c>
    </row>
    <row r="37" spans="1:7">
      <c r="A37" s="19">
        <v>32</v>
      </c>
      <c r="B37" s="67" t="str">
        <f>Details!B37</f>
        <v>Exemplary Youth Award</v>
      </c>
      <c r="C37" s="68">
        <f>Details!E37</f>
        <v>0</v>
      </c>
      <c r="D37" s="128">
        <f>C37+Feb!D37</f>
        <v>0</v>
      </c>
      <c r="E37" s="706">
        <f t="shared" si="0"/>
        <v>0</v>
      </c>
      <c r="F37" s="46">
        <f>Details!W37</f>
        <v>75000</v>
      </c>
      <c r="G37" s="3">
        <v>10000</v>
      </c>
    </row>
    <row r="38" spans="1:7">
      <c r="A38" s="19">
        <v>33</v>
      </c>
      <c r="B38" s="67" t="str">
        <f>Details!B38</f>
        <v>External Affairs</v>
      </c>
      <c r="C38" s="68">
        <f>Details!E38</f>
        <v>2000</v>
      </c>
      <c r="D38" s="128">
        <f>C38+Feb!D38</f>
        <v>24000</v>
      </c>
      <c r="E38" s="706">
        <f t="shared" si="0"/>
        <v>0.63157894736842102</v>
      </c>
      <c r="F38" s="46">
        <f>Details!W38</f>
        <v>38000</v>
      </c>
      <c r="G38" s="3">
        <v>15000</v>
      </c>
    </row>
    <row r="39" spans="1:7">
      <c r="A39" s="19">
        <v>34</v>
      </c>
      <c r="B39" s="67" t="str">
        <f>Details!B39</f>
        <v>Health Committee</v>
      </c>
      <c r="C39" s="68">
        <f>Details!E39</f>
        <v>3200</v>
      </c>
      <c r="D39" s="128">
        <f>C39+Feb!D39</f>
        <v>3200</v>
      </c>
      <c r="E39" s="706">
        <f t="shared" si="0"/>
        <v>9.2753623188405798E-2</v>
      </c>
      <c r="F39" s="46">
        <f>Details!W39</f>
        <v>34500</v>
      </c>
      <c r="G39" s="3">
        <v>0</v>
      </c>
    </row>
    <row r="40" spans="1:7">
      <c r="A40" s="19">
        <v>35</v>
      </c>
      <c r="B40" s="67" t="str">
        <f>Details!B40</f>
        <v>Hospitality Committee</v>
      </c>
      <c r="C40" s="68">
        <f>Details!E40</f>
        <v>1450</v>
      </c>
      <c r="D40" s="128">
        <f>C40+Feb!D40</f>
        <v>5950</v>
      </c>
      <c r="E40" s="706">
        <f t="shared" si="0"/>
        <v>2.2640791476407914E-2</v>
      </c>
      <c r="F40" s="46">
        <f>Details!W40</f>
        <v>262800</v>
      </c>
      <c r="G40" s="3">
        <v>1500</v>
      </c>
    </row>
    <row r="41" spans="1:7">
      <c r="A41" s="19">
        <v>36</v>
      </c>
      <c r="B41" s="67" t="str">
        <f>Details!B41</f>
        <v>Media/Sound Unit</v>
      </c>
      <c r="C41" s="68">
        <f>Details!E41</f>
        <v>0</v>
      </c>
      <c r="D41" s="128">
        <f>C41+Feb!D41</f>
        <v>27400</v>
      </c>
      <c r="E41" s="706">
        <f t="shared" si="0"/>
        <v>0.18266666666666667</v>
      </c>
      <c r="F41" s="46">
        <f>Details!W41</f>
        <v>150000</v>
      </c>
      <c r="G41" s="3">
        <v>500</v>
      </c>
    </row>
    <row r="42" spans="1:7">
      <c r="A42" s="19">
        <v>37</v>
      </c>
      <c r="B42" s="67" t="str">
        <f>Details!B42</f>
        <v>MMU</v>
      </c>
      <c r="C42" s="68">
        <f>Details!E42</f>
        <v>0</v>
      </c>
      <c r="D42" s="128">
        <f>C42+Feb!D42</f>
        <v>0</v>
      </c>
      <c r="E42" s="706">
        <f t="shared" si="0"/>
        <v>0</v>
      </c>
      <c r="F42" s="46">
        <f>Details!W42</f>
        <v>50000</v>
      </c>
      <c r="G42" s="3">
        <v>0</v>
      </c>
    </row>
    <row r="43" spans="1:7">
      <c r="A43" s="19">
        <v>38</v>
      </c>
      <c r="B43" s="67" t="str">
        <f>Details!B43</f>
        <v>Music Department</v>
      </c>
      <c r="C43" s="68">
        <f>Details!E43</f>
        <v>5000</v>
      </c>
      <c r="D43" s="128">
        <f>C43+Feb!D43</f>
        <v>21000</v>
      </c>
      <c r="E43" s="706">
        <f t="shared" si="0"/>
        <v>7.4733096085409248E-2</v>
      </c>
      <c r="F43" s="46">
        <f>Details!W43</f>
        <v>281000</v>
      </c>
      <c r="G43" s="3">
        <v>0</v>
      </c>
    </row>
    <row r="44" spans="1:7">
      <c r="A44" s="19">
        <v>39</v>
      </c>
      <c r="B44" s="67" t="str">
        <f>Details!B44</f>
        <v>Nominating</v>
      </c>
      <c r="C44" s="68">
        <f>Details!E44</f>
        <v>0</v>
      </c>
      <c r="D44" s="128">
        <f>C44+Feb!D44</f>
        <v>0</v>
      </c>
      <c r="E44" s="706"/>
      <c r="F44" s="46">
        <f>Details!W44</f>
        <v>0</v>
      </c>
    </row>
    <row r="45" spans="1:7">
      <c r="A45" s="19">
        <v>40</v>
      </c>
      <c r="B45" s="67" t="str">
        <f>Details!B45</f>
        <v>Property Committee</v>
      </c>
      <c r="C45" s="68">
        <f>Details!E45</f>
        <v>0</v>
      </c>
      <c r="D45" s="128">
        <f>C45+Feb!D45</f>
        <v>0</v>
      </c>
      <c r="E45" s="706">
        <f t="shared" si="0"/>
        <v>0</v>
      </c>
      <c r="F45" s="46">
        <f>Details!W45</f>
        <v>200000</v>
      </c>
      <c r="G45" s="3">
        <v>337402.69999999995</v>
      </c>
    </row>
    <row r="46" spans="1:7">
      <c r="A46" s="19">
        <v>41</v>
      </c>
      <c r="B46" s="67" t="str">
        <f>Details!B46</f>
        <v>Personnel</v>
      </c>
      <c r="C46" s="68">
        <f>Details!E46</f>
        <v>0</v>
      </c>
      <c r="D46" s="128">
        <f>C46+Feb!D46</f>
        <v>0</v>
      </c>
      <c r="E46" s="706"/>
      <c r="F46" s="46">
        <f>Details!W46</f>
        <v>0</v>
      </c>
      <c r="G46" s="3">
        <v>232402.69999999998</v>
      </c>
    </row>
    <row r="47" spans="1:7">
      <c r="A47" s="19">
        <v>42</v>
      </c>
      <c r="B47" s="67" t="str">
        <f>Details!B47</f>
        <v>Sanctuary supplies</v>
      </c>
      <c r="C47" s="68">
        <f>Details!E47</f>
        <v>29000</v>
      </c>
      <c r="D47" s="128">
        <f>C47+Feb!D47</f>
        <v>71500</v>
      </c>
      <c r="E47" s="706">
        <f t="shared" si="0"/>
        <v>0.23833333333333334</v>
      </c>
      <c r="F47" s="46">
        <f>Details!W47</f>
        <v>300000</v>
      </c>
      <c r="G47" s="3">
        <v>87000</v>
      </c>
    </row>
    <row r="48" spans="1:7">
      <c r="A48" s="19">
        <v>43</v>
      </c>
      <c r="B48" s="67" t="str">
        <f>Details!B48</f>
        <v>Stewardship</v>
      </c>
      <c r="C48" s="68">
        <f>Details!E48</f>
        <v>0</v>
      </c>
      <c r="D48" s="128">
        <f>C48+Feb!D48</f>
        <v>0</v>
      </c>
      <c r="E48" s="706">
        <f t="shared" si="0"/>
        <v>0</v>
      </c>
      <c r="F48" s="46">
        <f>Details!W48</f>
        <v>10000</v>
      </c>
      <c r="G48" s="3">
        <v>18000</v>
      </c>
    </row>
    <row r="49" spans="1:17">
      <c r="A49" s="19">
        <v>44</v>
      </c>
      <c r="B49" s="67" t="str">
        <f>Details!B49</f>
        <v xml:space="preserve">Sunday School </v>
      </c>
      <c r="C49" s="68">
        <f>Details!E49</f>
        <v>20000</v>
      </c>
      <c r="D49" s="128">
        <f>C49+Feb!D49</f>
        <v>31400</v>
      </c>
      <c r="E49" s="706">
        <f t="shared" si="0"/>
        <v>0.8306878306878307</v>
      </c>
      <c r="F49" s="46">
        <f>Details!W49</f>
        <v>37800</v>
      </c>
      <c r="G49" s="3"/>
    </row>
    <row r="50" spans="1:17">
      <c r="A50" s="19">
        <v>45</v>
      </c>
      <c r="B50" s="67" t="str">
        <f>Details!B50</f>
        <v>Ushers Committee</v>
      </c>
      <c r="C50" s="68">
        <f>Details!E50</f>
        <v>0</v>
      </c>
      <c r="D50" s="128">
        <f>C50+Feb!D50</f>
        <v>2500</v>
      </c>
      <c r="E50" s="706">
        <f t="shared" si="0"/>
        <v>0.3125</v>
      </c>
      <c r="F50" s="46">
        <f>Details!W50</f>
        <v>8000</v>
      </c>
      <c r="G50" s="3">
        <v>271324.91000000003</v>
      </c>
    </row>
    <row r="51" spans="1:17">
      <c r="A51" s="19">
        <v>46</v>
      </c>
      <c r="B51" s="67" t="str">
        <f>Details!B51</f>
        <v>Visitation Committee</v>
      </c>
      <c r="C51" s="68">
        <f>Details!E51</f>
        <v>0</v>
      </c>
      <c r="D51" s="128">
        <f>C51+Feb!D51</f>
        <v>4500</v>
      </c>
      <c r="E51" s="706">
        <f t="shared" si="0"/>
        <v>0.28125</v>
      </c>
      <c r="F51" s="46">
        <f>Details!W51</f>
        <v>16000</v>
      </c>
      <c r="G51" s="3">
        <v>0</v>
      </c>
    </row>
    <row r="52" spans="1:17">
      <c r="A52" s="19">
        <v>47</v>
      </c>
      <c r="B52" s="67" t="str">
        <f>Details!B52</f>
        <v>WMU</v>
      </c>
      <c r="C52" s="68">
        <f>Details!E52</f>
        <v>42000</v>
      </c>
      <c r="D52" s="128">
        <f>C52+Feb!D52</f>
        <v>42000</v>
      </c>
      <c r="E52" s="706">
        <f t="shared" si="0"/>
        <v>0.52173913043478259</v>
      </c>
      <c r="F52" s="46">
        <f>Details!W52</f>
        <v>80500</v>
      </c>
      <c r="G52" s="3">
        <v>4634.91</v>
      </c>
    </row>
    <row r="53" spans="1:17">
      <c r="A53" s="19">
        <v>48</v>
      </c>
      <c r="B53" s="67" t="str">
        <f>Details!B53</f>
        <v>Youth Fellowship</v>
      </c>
      <c r="C53" s="68">
        <f>Details!E53</f>
        <v>10000</v>
      </c>
      <c r="D53" s="128">
        <f>C53+Feb!D53</f>
        <v>69000</v>
      </c>
      <c r="E53" s="706">
        <f t="shared" si="0"/>
        <v>0.83132530120481929</v>
      </c>
      <c r="F53" s="46">
        <f>Details!W53</f>
        <v>83000</v>
      </c>
      <c r="G53" s="3">
        <v>0</v>
      </c>
    </row>
    <row r="54" spans="1:17">
      <c r="A54" s="19">
        <v>49</v>
      </c>
      <c r="B54" s="67" t="str">
        <f>Details!B54</f>
        <v>Teenagers</v>
      </c>
      <c r="C54" s="68">
        <f>Details!E54</f>
        <v>13400</v>
      </c>
      <c r="D54" s="128">
        <f>C54+Feb!D54</f>
        <v>34400</v>
      </c>
      <c r="E54" s="706">
        <f t="shared" si="0"/>
        <v>1.72</v>
      </c>
      <c r="F54" s="46">
        <f>Details!W54</f>
        <v>20000</v>
      </c>
      <c r="G54" s="3">
        <v>3140</v>
      </c>
    </row>
    <row r="55" spans="1:17" s="9" customFormat="1">
      <c r="A55" s="19">
        <v>50</v>
      </c>
      <c r="B55" s="69" t="str">
        <f>Details!B55</f>
        <v>Suspense account</v>
      </c>
      <c r="C55" s="68">
        <f>Details!E55</f>
        <v>0</v>
      </c>
      <c r="D55" s="128">
        <f>C55+Feb!D55</f>
        <v>0</v>
      </c>
      <c r="E55" s="706"/>
      <c r="F55" s="46">
        <f>Details!W55</f>
        <v>0</v>
      </c>
      <c r="G55" s="188">
        <v>8300</v>
      </c>
    </row>
    <row r="56" spans="1:17">
      <c r="A56" s="19">
        <v>51</v>
      </c>
      <c r="B56" s="67">
        <f>Details!B56</f>
        <v>0</v>
      </c>
      <c r="C56" s="68"/>
      <c r="D56" s="128"/>
      <c r="E56" s="706"/>
      <c r="F56" s="46">
        <f>Details!W56</f>
        <v>0</v>
      </c>
      <c r="G56" s="3">
        <v>0</v>
      </c>
    </row>
    <row r="57" spans="1:17" s="9" customFormat="1">
      <c r="A57" s="19">
        <v>52</v>
      </c>
      <c r="B57" s="69" t="str">
        <f>Details!B57</f>
        <v>B. CHURCH STAFF</v>
      </c>
      <c r="C57" s="101">
        <f>Details!E57</f>
        <v>224125.02999999997</v>
      </c>
      <c r="D57" s="129">
        <f>C57+Feb!D57</f>
        <v>619921.6399999999</v>
      </c>
      <c r="E57" s="707">
        <f t="shared" si="0"/>
        <v>0.21377991210741767</v>
      </c>
      <c r="F57" s="46">
        <f>Details!W57</f>
        <v>2899812.4</v>
      </c>
      <c r="G57" s="188">
        <v>27900</v>
      </c>
    </row>
    <row r="58" spans="1:17">
      <c r="A58" s="19">
        <v>53</v>
      </c>
      <c r="B58" s="67" t="str">
        <f>Details!B58</f>
        <v>Church Pastor (salaries and allowances)</v>
      </c>
      <c r="C58" s="68">
        <f>Details!E58</f>
        <v>124352.17</v>
      </c>
      <c r="D58" s="128">
        <f>C58+Feb!D58</f>
        <v>337220.38</v>
      </c>
      <c r="E58" s="706">
        <f t="shared" si="0"/>
        <v>0.20622563308100533</v>
      </c>
      <c r="F58" s="46">
        <f>Details!W58</f>
        <v>1635201.09</v>
      </c>
      <c r="G58" s="3">
        <v>91000</v>
      </c>
    </row>
    <row r="59" spans="1:17">
      <c r="A59" s="19">
        <v>54</v>
      </c>
      <c r="B59" s="67" t="str">
        <f>Details!B59</f>
        <v>Other Pastors</v>
      </c>
      <c r="C59" s="68">
        <f>Details!E59</f>
        <v>65000</v>
      </c>
      <c r="D59" s="128">
        <f>C59+Feb!D59</f>
        <v>181000</v>
      </c>
      <c r="E59" s="706">
        <f t="shared" si="0"/>
        <v>0.22911392405063291</v>
      </c>
      <c r="F59" s="46">
        <f>Details!W59</f>
        <v>790000</v>
      </c>
      <c r="G59" s="3">
        <v>7500</v>
      </c>
    </row>
    <row r="60" spans="1:17" s="9" customFormat="1">
      <c r="A60" s="19">
        <v>55</v>
      </c>
      <c r="B60" s="67" t="str">
        <f>Details!B60</f>
        <v>Janitor</v>
      </c>
      <c r="C60" s="68">
        <f>Details!E60</f>
        <v>34772.86</v>
      </c>
      <c r="D60" s="128">
        <f>C60+Feb!D60</f>
        <v>101701.26</v>
      </c>
      <c r="E60" s="706">
        <f t="shared" si="0"/>
        <v>0.21428326265549802</v>
      </c>
      <c r="F60" s="46">
        <f>Details!W60</f>
        <v>474611.31</v>
      </c>
      <c r="G60" s="188">
        <v>50000</v>
      </c>
    </row>
    <row r="61" spans="1:17">
      <c r="A61" s="19">
        <v>56</v>
      </c>
      <c r="B61" s="67" t="str">
        <f>Details!B61</f>
        <v>Appreciation service for Pastor</v>
      </c>
      <c r="C61" s="68">
        <f>Details!E61</f>
        <v>0</v>
      </c>
      <c r="D61" s="128">
        <f>C61+Feb!D61</f>
        <v>0</v>
      </c>
      <c r="E61" s="706"/>
      <c r="F61" s="46">
        <f>Details!W61</f>
        <v>0</v>
      </c>
      <c r="G61" s="89">
        <v>5000</v>
      </c>
    </row>
    <row r="62" spans="1:17" s="9" customFormat="1">
      <c r="A62" s="19">
        <v>57</v>
      </c>
      <c r="B62" s="69" t="str">
        <f>Details!B62</f>
        <v>C. OPERATION COSTS</v>
      </c>
      <c r="C62" s="101">
        <f>Details!E62</f>
        <v>45361.020000000004</v>
      </c>
      <c r="D62" s="129">
        <f>C62+Feb!D62</f>
        <v>208629.23924999998</v>
      </c>
      <c r="E62" s="707">
        <f t="shared" si="0"/>
        <v>0.19523604646266141</v>
      </c>
      <c r="F62" s="46">
        <f>Details!W62</f>
        <v>1068600</v>
      </c>
      <c r="G62" s="188">
        <v>0</v>
      </c>
    </row>
    <row r="63" spans="1:17">
      <c r="A63" s="19">
        <v>58</v>
      </c>
      <c r="B63" s="67" t="str">
        <f>Details!B63</f>
        <v>10th Year anniversary celebrations</v>
      </c>
      <c r="C63" s="68">
        <f>Details!E63</f>
        <v>0</v>
      </c>
      <c r="D63" s="128">
        <f>C63+Feb!D63</f>
        <v>0</v>
      </c>
      <c r="E63" s="706">
        <f t="shared" si="0"/>
        <v>0</v>
      </c>
      <c r="F63" s="46">
        <f>Details!W63</f>
        <v>200000</v>
      </c>
      <c r="G63" s="3">
        <v>41765</v>
      </c>
      <c r="H63" s="61"/>
      <c r="I63" s="61"/>
      <c r="J63" s="61"/>
      <c r="K63" s="61"/>
      <c r="L63" s="61"/>
      <c r="M63" s="61"/>
      <c r="N63" s="61"/>
      <c r="O63" s="61"/>
      <c r="P63" s="61"/>
      <c r="Q63" s="61"/>
    </row>
    <row r="64" spans="1:17">
      <c r="A64" s="19">
        <v>59</v>
      </c>
      <c r="B64" s="67" t="str">
        <f>Details!B64</f>
        <v xml:space="preserve">Bank charges: sms, maintenance, VAT etc. </v>
      </c>
      <c r="C64" s="68">
        <f>Details!E64</f>
        <v>4631.0200000000004</v>
      </c>
      <c r="D64" s="128">
        <f>C64+Feb!D64</f>
        <v>8419.2400000000016</v>
      </c>
      <c r="E64" s="706">
        <f t="shared" si="0"/>
        <v>0.38269272727272735</v>
      </c>
      <c r="F64" s="46">
        <f>Details!W64</f>
        <v>22000</v>
      </c>
      <c r="G64" s="3">
        <v>39085</v>
      </c>
    </row>
    <row r="65" spans="1:8">
      <c r="A65" s="19">
        <v>60</v>
      </c>
      <c r="B65" s="67" t="str">
        <f>Details!B65</f>
        <v>Church Council refreshments</v>
      </c>
      <c r="C65" s="68">
        <f>Details!E65</f>
        <v>0</v>
      </c>
      <c r="D65" s="128">
        <f>C65+Feb!D65</f>
        <v>6000</v>
      </c>
      <c r="E65" s="706">
        <f t="shared" si="0"/>
        <v>0.25</v>
      </c>
      <c r="F65" s="46">
        <f>Details!W65</f>
        <v>24000</v>
      </c>
      <c r="G65" s="3">
        <v>4000</v>
      </c>
    </row>
    <row r="66" spans="1:8">
      <c r="A66" s="19">
        <v>61</v>
      </c>
      <c r="B66" s="67" t="str">
        <f>Details!B66</f>
        <v>Church secreteriat</v>
      </c>
      <c r="C66" s="68">
        <f>Details!E66</f>
        <v>15230</v>
      </c>
      <c r="D66" s="128">
        <f>C66+Feb!D66</f>
        <v>28660</v>
      </c>
      <c r="E66" s="706">
        <f t="shared" si="0"/>
        <v>0.47766666666666668</v>
      </c>
      <c r="F66" s="46">
        <f>Details!W66</f>
        <v>60000</v>
      </c>
      <c r="G66" s="3">
        <v>39000</v>
      </c>
    </row>
    <row r="67" spans="1:8">
      <c r="A67" s="19">
        <v>62</v>
      </c>
      <c r="B67" s="67" t="str">
        <f>Details!B67</f>
        <v>Convention session</v>
      </c>
      <c r="C67" s="68">
        <f>Details!E67</f>
        <v>0</v>
      </c>
      <c r="D67" s="128">
        <f>C67+Feb!D67</f>
        <v>10000</v>
      </c>
      <c r="E67" s="706">
        <f t="shared" si="0"/>
        <v>0.5</v>
      </c>
      <c r="F67" s="46">
        <f>Details!W67</f>
        <v>20000</v>
      </c>
      <c r="G67" s="3"/>
    </row>
    <row r="68" spans="1:8">
      <c r="A68" s="19">
        <v>63</v>
      </c>
      <c r="B68" s="67" t="str">
        <f>Details!B68</f>
        <v>Electricity - church auditorium</v>
      </c>
      <c r="C68" s="68">
        <f>Details!E68</f>
        <v>0</v>
      </c>
      <c r="D68" s="128">
        <f>C68+Feb!D68</f>
        <v>5000</v>
      </c>
      <c r="E68" s="706">
        <f t="shared" si="0"/>
        <v>0.15625</v>
      </c>
      <c r="F68" s="46">
        <f>Details!W68</f>
        <v>32000</v>
      </c>
      <c r="G68" s="3">
        <v>214600</v>
      </c>
    </row>
    <row r="69" spans="1:8">
      <c r="A69" s="19">
        <v>64</v>
      </c>
      <c r="B69" s="67" t="str">
        <f>Details!B69</f>
        <v>Electricity - Pastorium</v>
      </c>
      <c r="C69" s="68">
        <f>Details!E69</f>
        <v>0</v>
      </c>
      <c r="D69" s="128">
        <f>C69+Feb!D69</f>
        <v>10000</v>
      </c>
      <c r="E69" s="706">
        <f t="shared" si="0"/>
        <v>0.20833333333333334</v>
      </c>
      <c r="F69" s="46">
        <f>Details!W69</f>
        <v>48000</v>
      </c>
      <c r="G69" s="3">
        <v>100000</v>
      </c>
    </row>
    <row r="70" spans="1:8" ht="34.5">
      <c r="A70" s="19">
        <v>65</v>
      </c>
      <c r="B70" s="71" t="str">
        <f>Details!B70</f>
        <v>Generators - fuel and maintenance church auditorium</v>
      </c>
      <c r="C70" s="68">
        <f>Details!E70</f>
        <v>15600</v>
      </c>
      <c r="D70" s="128">
        <f>C70+Feb!D70</f>
        <v>49349.999250000001</v>
      </c>
      <c r="E70" s="706">
        <f t="shared" si="0"/>
        <v>0.18564135477790072</v>
      </c>
      <c r="F70" s="46">
        <f>Details!W70</f>
        <v>265835.15999999997</v>
      </c>
      <c r="G70" s="3">
        <v>300</v>
      </c>
    </row>
    <row r="71" spans="1:8" ht="34.5">
      <c r="A71" s="19">
        <v>66</v>
      </c>
      <c r="B71" s="71" t="str">
        <f>Details!B71</f>
        <v>Generators - fuel and maintenance pastorium</v>
      </c>
      <c r="C71" s="68">
        <f>Details!E71</f>
        <v>9900</v>
      </c>
      <c r="D71" s="128">
        <f>C71+Feb!D71</f>
        <v>42400</v>
      </c>
      <c r="E71" s="706">
        <f>D71/F71</f>
        <v>0.38279295126504043</v>
      </c>
      <c r="F71" s="46">
        <f>Details!W71</f>
        <v>110764.84</v>
      </c>
      <c r="G71" s="3">
        <v>214300</v>
      </c>
    </row>
    <row r="72" spans="1:8">
      <c r="A72" s="19">
        <v>67</v>
      </c>
      <c r="B72" s="67" t="str">
        <f>Details!B72</f>
        <v>Keep fit instructor</v>
      </c>
      <c r="C72" s="68">
        <f>Details!E72</f>
        <v>0</v>
      </c>
      <c r="D72" s="128">
        <f>C72+Feb!D72</f>
        <v>0</v>
      </c>
      <c r="E72" s="706"/>
      <c r="F72" s="46">
        <f>Details!W72</f>
        <v>0</v>
      </c>
    </row>
    <row r="73" spans="1:8">
      <c r="A73" s="19">
        <v>68</v>
      </c>
      <c r="B73" s="67" t="str">
        <f>Details!B73</f>
        <v xml:space="preserve">Ministers' Conference </v>
      </c>
      <c r="C73" s="68">
        <f>Details!E73</f>
        <v>0</v>
      </c>
      <c r="D73" s="128">
        <f>C73+Feb!D73</f>
        <v>0</v>
      </c>
      <c r="E73" s="706">
        <f>D73/F73</f>
        <v>0</v>
      </c>
      <c r="F73" s="46">
        <f>Details!W73</f>
        <v>6000</v>
      </c>
      <c r="G73" s="3">
        <v>416018.72000000003</v>
      </c>
    </row>
    <row r="74" spans="1:8" s="61" customFormat="1" ht="34.5">
      <c r="A74" s="413">
        <v>69</v>
      </c>
      <c r="B74" s="702" t="str">
        <f>Details!B74</f>
        <v>Miscellanous (transport for CAN Minister, honorarium for supervisor)</v>
      </c>
      <c r="C74" s="96">
        <f>Details!E74</f>
        <v>0</v>
      </c>
      <c r="D74" s="131">
        <f>C74+Feb!D74</f>
        <v>5000</v>
      </c>
      <c r="E74" s="708">
        <f>D74/F74</f>
        <v>0.1</v>
      </c>
      <c r="F74" s="345">
        <f>Details!W74</f>
        <v>50000</v>
      </c>
      <c r="G74" s="89">
        <v>299749.46000000002</v>
      </c>
    </row>
    <row r="75" spans="1:8">
      <c r="A75" s="19">
        <v>70</v>
      </c>
      <c r="B75" s="67" t="str">
        <f>Details!B75</f>
        <v>Motorcycle</v>
      </c>
      <c r="C75" s="68">
        <f>Details!E75</f>
        <v>0</v>
      </c>
      <c r="D75" s="128">
        <f>C75+Feb!D75</f>
        <v>3800</v>
      </c>
      <c r="E75" s="706"/>
      <c r="F75" s="46">
        <f>Details!W75</f>
        <v>0</v>
      </c>
      <c r="G75" s="3">
        <v>81384.259999999995</v>
      </c>
    </row>
    <row r="76" spans="1:8">
      <c r="A76" s="19">
        <v>71</v>
      </c>
      <c r="B76" s="71" t="str">
        <f>Details!B76</f>
        <v>Ogbomoso Conference</v>
      </c>
      <c r="C76" s="68">
        <f>Details!E76</f>
        <v>0</v>
      </c>
      <c r="D76" s="128">
        <f>C76+Feb!D76</f>
        <v>0</v>
      </c>
      <c r="E76" s="706">
        <f>D76/F76</f>
        <v>0</v>
      </c>
      <c r="F76" s="46">
        <f>Details!W76</f>
        <v>25000</v>
      </c>
      <c r="G76" s="3">
        <v>34885</v>
      </c>
    </row>
    <row r="77" spans="1:8">
      <c r="A77" s="19">
        <v>72</v>
      </c>
      <c r="B77" s="67" t="str">
        <f>Details!B77</f>
        <v xml:space="preserve">Pastorium rent &amp; maintenance </v>
      </c>
      <c r="C77" s="68">
        <f>Details!E77</f>
        <v>0</v>
      </c>
      <c r="D77" s="128">
        <f>C77+Feb!D77</f>
        <v>0</v>
      </c>
      <c r="E77" s="706">
        <f>D77/F77</f>
        <v>0</v>
      </c>
      <c r="F77" s="46">
        <f>Details!W77</f>
        <v>150000</v>
      </c>
      <c r="G77" s="3">
        <v>1553311.33</v>
      </c>
    </row>
    <row r="78" spans="1:8">
      <c r="A78" s="19">
        <v>73</v>
      </c>
      <c r="B78" s="67" t="str">
        <f>Details!B78</f>
        <v>Pastors Wives' retreat</v>
      </c>
      <c r="C78" s="68">
        <f>Details!E78</f>
        <v>0</v>
      </c>
      <c r="D78" s="128">
        <f>C78+Feb!D78</f>
        <v>0</v>
      </c>
      <c r="E78" s="706">
        <f>D78/F78</f>
        <v>0</v>
      </c>
      <c r="F78" s="46">
        <f>Details!W78</f>
        <v>5000</v>
      </c>
      <c r="G78" s="3">
        <v>779793.71</v>
      </c>
    </row>
    <row r="79" spans="1:8">
      <c r="A79" s="19">
        <v>74</v>
      </c>
      <c r="B79" s="67" t="str">
        <f>Details!B79</f>
        <v>Workers' retreat organized by the church</v>
      </c>
      <c r="C79" s="68">
        <f>Details!E79</f>
        <v>0</v>
      </c>
      <c r="D79" s="128">
        <f>C79+Feb!D79</f>
        <v>40000</v>
      </c>
      <c r="E79" s="706">
        <f>D79/F79</f>
        <v>0.8</v>
      </c>
      <c r="F79" s="46">
        <f>Details!W79</f>
        <v>50000</v>
      </c>
      <c r="G79" s="3">
        <v>244124.68</v>
      </c>
      <c r="H79">
        <f>97812.83-97794.03</f>
        <v>18.80000000000291</v>
      </c>
    </row>
    <row r="80" spans="1:8">
      <c r="A80" s="19">
        <v>75</v>
      </c>
      <c r="B80" s="67"/>
      <c r="C80" s="68"/>
      <c r="D80" s="128"/>
      <c r="E80" s="706"/>
      <c r="F80" s="46">
        <f>Details!W80</f>
        <v>0</v>
      </c>
      <c r="G80" s="3">
        <v>97794.03</v>
      </c>
    </row>
    <row r="81" spans="1:7" s="696" customFormat="1" ht="34.5">
      <c r="A81" s="413">
        <v>76</v>
      </c>
      <c r="B81" s="703" t="str">
        <f>Details!B81</f>
        <v>D. NEW AUDITORIUM &amp; OTHER PROJECTS</v>
      </c>
      <c r="C81" s="710">
        <f>Details!E81</f>
        <v>751311.5</v>
      </c>
      <c r="D81" s="130">
        <f>C81+Feb!D81</f>
        <v>2589155.88</v>
      </c>
      <c r="E81" s="711">
        <f>D81/F81</f>
        <v>0.62359245664739882</v>
      </c>
      <c r="F81" s="345">
        <f>Details!W81</f>
        <v>4152000</v>
      </c>
      <c r="G81" s="695">
        <v>437875</v>
      </c>
    </row>
    <row r="82" spans="1:7">
      <c r="A82" s="19">
        <v>77</v>
      </c>
      <c r="B82" s="67" t="str">
        <f>Details!B82</f>
        <v>Bank charges - Access bank</v>
      </c>
      <c r="C82" s="68">
        <f>Details!E82</f>
        <v>481.5</v>
      </c>
      <c r="D82" s="128">
        <f>C82+Feb!D82</f>
        <v>825.88</v>
      </c>
      <c r="E82" s="706">
        <f>D82/F82</f>
        <v>0.41293999999999997</v>
      </c>
      <c r="F82" s="46">
        <f>Details!W82</f>
        <v>2000</v>
      </c>
    </row>
    <row r="83" spans="1:7">
      <c r="A83" s="19">
        <v>78</v>
      </c>
      <c r="B83" s="67" t="str">
        <f>Details!B83</f>
        <v>Borehole</v>
      </c>
      <c r="C83" s="68">
        <f>Details!E83</f>
        <v>221230</v>
      </c>
      <c r="D83" s="128">
        <f>C83+Feb!D83</f>
        <v>541230</v>
      </c>
      <c r="E83" s="706">
        <f>D83/F83</f>
        <v>0.83266153846153845</v>
      </c>
      <c r="F83" s="46">
        <f>Details!W83</f>
        <v>650000</v>
      </c>
    </row>
    <row r="84" spans="1:7" hidden="1">
      <c r="A84" s="19">
        <v>79</v>
      </c>
      <c r="B84" s="67" t="str">
        <f>Details!B84</f>
        <v>Development loan refund</v>
      </c>
      <c r="C84" s="68">
        <f>Details!E84</f>
        <v>0</v>
      </c>
      <c r="D84" s="128">
        <f>C84+Feb!D84</f>
        <v>0</v>
      </c>
      <c r="E84" s="706"/>
      <c r="F84" s="46">
        <f>Details!W84</f>
        <v>0</v>
      </c>
    </row>
    <row r="85" spans="1:7" s="9" customFormat="1">
      <c r="A85" s="19">
        <v>80</v>
      </c>
      <c r="B85" s="71" t="str">
        <f>Details!B85</f>
        <v>Gift-in-kind towards church auditorium</v>
      </c>
      <c r="C85" s="96">
        <f>Details!E85</f>
        <v>0</v>
      </c>
      <c r="D85" s="131">
        <f>C85+Feb!D85</f>
        <v>20800</v>
      </c>
      <c r="E85" s="708" t="s">
        <v>228</v>
      </c>
      <c r="F85" s="46">
        <f>Details!W85</f>
        <v>0</v>
      </c>
      <c r="G85" s="195">
        <f>D85-G77</f>
        <v>-1532511.33</v>
      </c>
    </row>
    <row r="86" spans="1:7">
      <c r="A86" s="19">
        <v>81</v>
      </c>
      <c r="B86" s="67" t="str">
        <f>Details!B86</f>
        <v>New  auditorium - block work, columns and roof beam</v>
      </c>
      <c r="C86" s="68">
        <f>Details!E86</f>
        <v>529600</v>
      </c>
      <c r="D86" s="128">
        <f>C86+Feb!D86</f>
        <v>2026300</v>
      </c>
      <c r="E86" s="706"/>
      <c r="F86" s="46">
        <f>Details!W86</f>
        <v>3500000</v>
      </c>
    </row>
    <row r="87" spans="1:7" hidden="1">
      <c r="A87" s="19">
        <v>82</v>
      </c>
      <c r="B87" s="67" t="str">
        <f>Details!B87</f>
        <v>Erection of new sign posts</v>
      </c>
      <c r="C87" s="68">
        <f>Details!E87</f>
        <v>0</v>
      </c>
      <c r="D87" s="128">
        <f>C87+Feb!D87</f>
        <v>0</v>
      </c>
      <c r="E87" s="706"/>
      <c r="F87" s="46">
        <f>Details!W87</f>
        <v>0</v>
      </c>
    </row>
    <row r="88" spans="1:7" s="9" customFormat="1">
      <c r="A88" s="19">
        <v>83</v>
      </c>
      <c r="B88" s="69"/>
      <c r="C88" s="101"/>
      <c r="D88" s="129"/>
      <c r="E88" s="707"/>
      <c r="F88" s="46">
        <f>Details!W88</f>
        <v>0</v>
      </c>
    </row>
    <row r="89" spans="1:7" s="696" customFormat="1">
      <c r="A89" s="19">
        <v>84</v>
      </c>
      <c r="B89" s="703" t="str">
        <f>Details!B89</f>
        <v>E. COOPERATIVE FUNDS</v>
      </c>
      <c r="C89" s="710">
        <f>Details!E89</f>
        <v>418510.1</v>
      </c>
      <c r="D89" s="130">
        <f>C89+Feb!D89</f>
        <v>418510.1</v>
      </c>
      <c r="E89" s="711">
        <f>D89/F89</f>
        <v>0.17286662536142089</v>
      </c>
      <c r="F89" s="261">
        <f>Details!W89</f>
        <v>2421000</v>
      </c>
      <c r="G89" s="695">
        <v>0</v>
      </c>
    </row>
    <row r="90" spans="1:7" s="696" customFormat="1" ht="51.75">
      <c r="A90" s="413">
        <v>85</v>
      </c>
      <c r="B90" s="702" t="str">
        <f>Details!B90</f>
        <v>Association contributions - 3% of tithes &amp; SS, thanksgiving and general offerings</v>
      </c>
      <c r="C90" s="96">
        <f>Details!E90</f>
        <v>41850.959999999999</v>
      </c>
      <c r="D90" s="131">
        <f>C90+Feb!D90</f>
        <v>41850.959999999999</v>
      </c>
      <c r="E90" s="708">
        <f>D90/F90</f>
        <v>0.17286641883519208</v>
      </c>
      <c r="F90" s="345">
        <f>Details!W90</f>
        <v>242100</v>
      </c>
      <c r="G90" s="695"/>
    </row>
    <row r="91" spans="1:7" s="61" customFormat="1" ht="51.75">
      <c r="A91" s="413">
        <v>86</v>
      </c>
      <c r="B91" s="702" t="str">
        <f>Details!B91</f>
        <v>Conference contributions - 7% of tithes &amp;  SS, thanksgiving and general offerings</v>
      </c>
      <c r="C91" s="96">
        <f>Details!E91</f>
        <v>97652.239999999991</v>
      </c>
      <c r="D91" s="131">
        <f>C91+Feb!D91</f>
        <v>97652.239999999991</v>
      </c>
      <c r="E91" s="708">
        <f>D91/F91</f>
        <v>0.17286641883519205</v>
      </c>
      <c r="F91" s="345">
        <f>Details!W91</f>
        <v>564900</v>
      </c>
      <c r="G91" s="89">
        <v>2183105.04</v>
      </c>
    </row>
    <row r="92" spans="1:7" s="61" customFormat="1" ht="51.75">
      <c r="A92" s="413">
        <v>87</v>
      </c>
      <c r="B92" s="702" t="str">
        <f>Details!B92</f>
        <v>Convention contributions - 20% of tithes &amp; SS, thanksgiving and general  offerings</v>
      </c>
      <c r="C92" s="96">
        <f>Details!E92</f>
        <v>279006.90000000002</v>
      </c>
      <c r="D92" s="131">
        <f>C92+Feb!D92</f>
        <v>279006.90000000002</v>
      </c>
      <c r="E92" s="708">
        <f>D92/F92</f>
        <v>0.17286672862453534</v>
      </c>
      <c r="F92" s="345">
        <f>Details!W92</f>
        <v>1614000</v>
      </c>
      <c r="G92" s="89">
        <v>0</v>
      </c>
    </row>
    <row r="93" spans="1:7" s="9" customFormat="1">
      <c r="A93" s="19">
        <v>88</v>
      </c>
      <c r="B93" s="69"/>
      <c r="C93" s="101"/>
      <c r="D93" s="129"/>
      <c r="E93" s="707"/>
      <c r="F93" s="46">
        <f>Details!W93</f>
        <v>0</v>
      </c>
      <c r="G93" s="188">
        <v>1553311.33</v>
      </c>
    </row>
    <row r="94" spans="1:7" s="9" customFormat="1">
      <c r="A94" s="19">
        <v>89</v>
      </c>
      <c r="B94" s="69" t="str">
        <f>Details!B94</f>
        <v>F. DESIGNATED SAVINGS</v>
      </c>
      <c r="C94" s="68"/>
      <c r="D94" s="128"/>
      <c r="E94" s="706"/>
      <c r="F94" s="46">
        <f>Details!W94</f>
        <v>480000</v>
      </c>
      <c r="G94" s="188">
        <v>1553311.33</v>
      </c>
    </row>
    <row r="95" spans="1:7" s="61" customFormat="1" ht="34.5">
      <c r="A95" s="413">
        <v>90</v>
      </c>
      <c r="B95" s="702" t="str">
        <f>Details!B95</f>
        <v>Pastorium (rent, development of land etc.)</v>
      </c>
      <c r="C95" s="96">
        <f>Details!E95</f>
        <v>0</v>
      </c>
      <c r="D95" s="131">
        <f>C95+Feb!D95</f>
        <v>0</v>
      </c>
      <c r="E95" s="708"/>
      <c r="F95" s="345">
        <f>Details!W95</f>
        <v>0</v>
      </c>
      <c r="G95" s="89">
        <v>-150000</v>
      </c>
    </row>
    <row r="96" spans="1:7">
      <c r="A96" s="19">
        <v>91</v>
      </c>
      <c r="B96" s="67" t="str">
        <f>Details!B96</f>
        <v>New auditorium</v>
      </c>
      <c r="C96" s="68">
        <f>Details!E96</f>
        <v>0</v>
      </c>
      <c r="D96" s="128">
        <f>C96+Feb!D96-400000</f>
        <v>0</v>
      </c>
      <c r="E96" s="706">
        <v>0</v>
      </c>
      <c r="F96" s="46">
        <f>Details!W96</f>
        <v>0</v>
      </c>
      <c r="G96" s="3"/>
    </row>
    <row r="97" spans="1:7" s="9" customFormat="1">
      <c r="A97" s="19">
        <v>92</v>
      </c>
      <c r="B97" s="67" t="str">
        <f>Details!B97</f>
        <v>Pastor's retirement 2025</v>
      </c>
      <c r="C97" s="101">
        <f>Details!E97</f>
        <v>0</v>
      </c>
      <c r="D97" s="128">
        <f>C97+Feb!D97</f>
        <v>0</v>
      </c>
      <c r="E97" s="706">
        <f>D97/F97</f>
        <v>0</v>
      </c>
      <c r="F97" s="46">
        <f>Details!W97</f>
        <v>480000</v>
      </c>
      <c r="G97" s="188"/>
    </row>
    <row r="98" spans="1:7" s="9" customFormat="1">
      <c r="A98" s="19">
        <v>93</v>
      </c>
      <c r="B98" s="69" t="str">
        <f>Details!B98</f>
        <v>Total Expenditure</v>
      </c>
      <c r="C98" s="101">
        <f>Details!E98</f>
        <v>1834197.65</v>
      </c>
      <c r="D98" s="129">
        <f>C98+Feb!D98-400000</f>
        <v>4448846.8592499997</v>
      </c>
      <c r="E98" s="707">
        <f>D98/F98</f>
        <v>0.31700462650652922</v>
      </c>
      <c r="F98" s="46">
        <f>Details!W98</f>
        <v>14034012.4</v>
      </c>
    </row>
    <row r="99" spans="1:7">
      <c r="A99" s="19">
        <v>94</v>
      </c>
      <c r="B99" s="67" t="str">
        <f>Details!B99</f>
        <v>Balances in the church's accounts plus imprest account</v>
      </c>
      <c r="C99" s="68">
        <f>Details!E99</f>
        <v>350723.75</v>
      </c>
      <c r="D99" s="128">
        <f t="shared" ref="D99:D107" si="1">C99</f>
        <v>350723.75</v>
      </c>
      <c r="E99" s="706"/>
      <c r="F99" s="46">
        <f>Details!W99</f>
        <v>0</v>
      </c>
    </row>
    <row r="100" spans="1:7">
      <c r="A100" s="19">
        <v>95</v>
      </c>
      <c r="B100" s="67" t="str">
        <f>Details!B100</f>
        <v>First Bank of Nigeria</v>
      </c>
      <c r="C100" s="68">
        <f>Details!E100</f>
        <v>172876.9</v>
      </c>
      <c r="D100" s="128">
        <f t="shared" si="1"/>
        <v>172876.9</v>
      </c>
      <c r="E100" s="706"/>
      <c r="F100" s="46">
        <f>Details!W100</f>
        <v>0</v>
      </c>
    </row>
    <row r="101" spans="1:7">
      <c r="A101" s="19">
        <v>96</v>
      </c>
      <c r="B101" s="67" t="str">
        <f>Details!B101</f>
        <v>Add Cash/Cheque in-transit - FBN</v>
      </c>
      <c r="C101" s="68">
        <f>Details!E101</f>
        <v>0</v>
      </c>
      <c r="D101" s="128">
        <f t="shared" si="1"/>
        <v>0</v>
      </c>
      <c r="E101" s="706"/>
      <c r="F101" s="46">
        <f>Details!W101</f>
        <v>0</v>
      </c>
    </row>
    <row r="102" spans="1:7">
      <c r="A102" s="19">
        <v>97</v>
      </c>
      <c r="B102" s="67" t="str">
        <f>Details!B102</f>
        <v>Less Unpresented cheques - FBN</v>
      </c>
      <c r="C102" s="68">
        <f>Details!E102</f>
        <v>-67627.290000000008</v>
      </c>
      <c r="D102" s="128">
        <f t="shared" si="1"/>
        <v>-67627.290000000008</v>
      </c>
      <c r="E102" s="706"/>
      <c r="F102" s="46">
        <f>Details!W102</f>
        <v>0</v>
      </c>
    </row>
    <row r="103" spans="1:7">
      <c r="A103" s="19">
        <v>98</v>
      </c>
      <c r="B103" s="67" t="str">
        <f>Details!B103</f>
        <v>Randalpha MFB</v>
      </c>
      <c r="C103" s="68">
        <f>Details!E103</f>
        <v>58905.95</v>
      </c>
      <c r="D103" s="128">
        <f t="shared" si="1"/>
        <v>58905.95</v>
      </c>
      <c r="E103" s="706"/>
      <c r="F103" s="46">
        <f>Details!W103</f>
        <v>0</v>
      </c>
    </row>
    <row r="104" spans="1:7">
      <c r="A104" s="19">
        <v>99</v>
      </c>
      <c r="B104" s="67" t="str">
        <f>Details!B104</f>
        <v>Access Bank</v>
      </c>
      <c r="C104" s="68">
        <f>Details!E104</f>
        <v>175568.19</v>
      </c>
      <c r="D104" s="128">
        <f t="shared" si="1"/>
        <v>175568.19</v>
      </c>
      <c r="E104" s="706"/>
      <c r="F104" s="46">
        <f>Details!W104</f>
        <v>0</v>
      </c>
    </row>
    <row r="105" spans="1:7" s="61" customFormat="1" ht="34.5">
      <c r="A105" s="413">
        <v>100</v>
      </c>
      <c r="B105" s="702" t="str">
        <f>Details!B105</f>
        <v>Add Cash/Cheque in-transit - Access Bank</v>
      </c>
      <c r="C105" s="96">
        <f>Details!E105</f>
        <v>10000</v>
      </c>
      <c r="D105" s="131">
        <f t="shared" si="1"/>
        <v>10000</v>
      </c>
      <c r="E105" s="708"/>
      <c r="F105" s="345">
        <f>Details!W105</f>
        <v>0</v>
      </c>
    </row>
    <row r="106" spans="1:7">
      <c r="A106" s="19">
        <v>101</v>
      </c>
      <c r="B106" s="67" t="str">
        <f>Details!B106</f>
        <v>Less Uncleared cheque - Access Bank</v>
      </c>
      <c r="C106" s="68">
        <f>Details!E106</f>
        <v>0</v>
      </c>
      <c r="D106" s="128">
        <f t="shared" si="1"/>
        <v>0</v>
      </c>
      <c r="E106" s="706"/>
      <c r="F106" s="46">
        <f>Details!W106</f>
        <v>0</v>
      </c>
    </row>
    <row r="107" spans="1:7">
      <c r="A107" s="19">
        <v>102</v>
      </c>
      <c r="B107" s="69" t="str">
        <f>Details!B107</f>
        <v>Imprest account (cash on hand)</v>
      </c>
      <c r="C107" s="68">
        <f>Details!E107</f>
        <v>1000</v>
      </c>
      <c r="D107" s="128">
        <f t="shared" si="1"/>
        <v>1000</v>
      </c>
      <c r="E107" s="706"/>
      <c r="F107" s="46">
        <f>Details!W107</f>
        <v>0</v>
      </c>
    </row>
    <row r="108" spans="1:7" s="61" customFormat="1">
      <c r="A108" s="19">
        <v>103</v>
      </c>
      <c r="B108" s="167" t="str">
        <f>Details!B108</f>
        <v>CONSOLIDATED INCOME &amp; EXPENDITURE REPORT</v>
      </c>
      <c r="C108" s="101"/>
      <c r="D108" s="129"/>
      <c r="E108" s="707"/>
      <c r="F108" s="46">
        <f>Details!W108</f>
        <v>0</v>
      </c>
    </row>
    <row r="109" spans="1:7" s="61" customFormat="1" ht="34.5">
      <c r="A109" s="413">
        <v>104</v>
      </c>
      <c r="B109" s="726" t="str">
        <f>Details!B109</f>
        <v>Income from all sources, including B/F from 2020</v>
      </c>
      <c r="C109" s="96">
        <f>Details!E109</f>
        <v>2184921.3999999994</v>
      </c>
      <c r="D109" s="131">
        <f>D25</f>
        <v>4799570.6100000003</v>
      </c>
      <c r="E109" s="708">
        <f>D109/F109</f>
        <v>0.38425542503815147</v>
      </c>
      <c r="F109" s="345">
        <f>Details!W109</f>
        <v>12490573.450000001</v>
      </c>
    </row>
    <row r="110" spans="1:7" s="61" customFormat="1">
      <c r="A110" s="413">
        <v>105</v>
      </c>
      <c r="B110" s="727" t="str">
        <f>Details!B110</f>
        <v>Total expenditure on new auditorium</v>
      </c>
      <c r="C110" s="96">
        <f>Details!E110</f>
        <v>530081.5</v>
      </c>
      <c r="D110" s="131">
        <f>C110+Feb!D110</f>
        <v>2047925.88</v>
      </c>
      <c r="E110" s="708">
        <f>D110/F110</f>
        <v>0.58478751570531118</v>
      </c>
      <c r="F110" s="345">
        <f>Details!W110</f>
        <v>3502000</v>
      </c>
    </row>
    <row r="111" spans="1:7" s="696" customFormat="1" ht="34.5">
      <c r="A111" s="413">
        <v>106</v>
      </c>
      <c r="B111" s="703" t="str">
        <f>Details!B111</f>
        <v>General expenditure including amount transferred to building fund</v>
      </c>
      <c r="C111" s="710">
        <f>Details!E111</f>
        <v>1304116.1499999999</v>
      </c>
      <c r="D111" s="130">
        <f>C111+Feb!D111-400000</f>
        <v>2400920.9792499999</v>
      </c>
      <c r="E111" s="711">
        <f>D111/F111</f>
        <v>0.17107872722486692</v>
      </c>
      <c r="F111" s="345">
        <f>Details!W111</f>
        <v>14034012.4</v>
      </c>
    </row>
    <row r="112" spans="1:7" s="696" customFormat="1" ht="34.5">
      <c r="A112" s="413">
        <v>107</v>
      </c>
      <c r="B112" s="703" t="str">
        <f>Details!B112</f>
        <v>Total expenditure: new auditorium &amp; general</v>
      </c>
      <c r="C112" s="710">
        <f>Details!E112</f>
        <v>1834197.65</v>
      </c>
      <c r="D112" s="130">
        <f>D110+D111</f>
        <v>4448846.8592499997</v>
      </c>
      <c r="E112" s="711">
        <f>D112/F112</f>
        <v>0.31700462650652922</v>
      </c>
      <c r="F112" s="728">
        <f>Details!W112</f>
        <v>14034012.4</v>
      </c>
    </row>
    <row r="113" spans="2:3">
      <c r="B113" s="67" t="str">
        <f>Details!B113</f>
        <v>Control</v>
      </c>
      <c r="C113">
        <f>Details!E113</f>
        <v>0</v>
      </c>
    </row>
    <row r="114" spans="2:3">
      <c r="B114" s="67"/>
    </row>
    <row r="115" spans="2:3">
      <c r="B115" s="67"/>
    </row>
  </sheetData>
  <mergeCells count="3">
    <mergeCell ref="A1:E1"/>
    <mergeCell ref="A2:E2"/>
    <mergeCell ref="A3:E3"/>
  </mergeCells>
  <pageMargins left="0.7" right="0.7" top="0.75" bottom="0.75" header="0.3" footer="0.3"/>
  <pageSetup paperSize="9" scale="59" fitToHeight="2" orientation="portrait" r:id="rId1"/>
  <headerFooter>
    <oddFooter>&amp;R&amp;P</oddFooter>
  </headerFooter>
  <rowBreaks count="1" manualBreakCount="1">
    <brk id="69"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29</vt:i4>
      </vt:variant>
    </vt:vector>
  </HeadingPairs>
  <TitlesOfParts>
    <vt:vector size="53" baseType="lpstr">
      <vt:lpstr>Sheet7</vt:lpstr>
      <vt:lpstr>Sheet8</vt:lpstr>
      <vt:lpstr>Details</vt:lpstr>
      <vt:lpstr>Sheet9</vt:lpstr>
      <vt:lpstr>Sheet5</vt:lpstr>
      <vt:lpstr>Sheet6</vt:lpstr>
      <vt:lpstr>Jan</vt:lpstr>
      <vt:lpstr>Feb</vt:lpstr>
      <vt:lpstr>Mar</vt:lpstr>
      <vt:lpstr>Apr</vt:lpstr>
      <vt:lpstr>May</vt:lpstr>
      <vt:lpstr>Jun</vt:lpstr>
      <vt:lpstr>Jul</vt:lpstr>
      <vt:lpstr>Aug</vt:lpstr>
      <vt:lpstr>Sep</vt:lpstr>
      <vt:lpstr>Oct</vt:lpstr>
      <vt:lpstr>Nov</vt:lpstr>
      <vt:lpstr>Dec</vt:lpstr>
      <vt:lpstr>Reports</vt:lpstr>
      <vt:lpstr>Graphs</vt:lpstr>
      <vt:lpstr>Sheet1</vt:lpstr>
      <vt:lpstr>Sheet2</vt:lpstr>
      <vt:lpstr>Sheet3</vt:lpstr>
      <vt:lpstr>Sheet4</vt:lpstr>
      <vt:lpstr>Apr!Print_Area</vt:lpstr>
      <vt:lpstr>Aug!Print_Area</vt:lpstr>
      <vt:lpstr>Dec!Print_Area</vt:lpstr>
      <vt:lpstr>Details!Print_Area</vt:lpstr>
      <vt:lpstr>Feb!Print_Area</vt:lpstr>
      <vt:lpstr>Jan!Print_Area</vt:lpstr>
      <vt:lpstr>Jul!Print_Area</vt:lpstr>
      <vt:lpstr>Jun!Print_Area</vt:lpstr>
      <vt:lpstr>Mar!Print_Area</vt:lpstr>
      <vt:lpstr>May!Print_Area</vt:lpstr>
      <vt:lpstr>Nov!Print_Area</vt:lpstr>
      <vt:lpstr>Oct!Print_Area</vt:lpstr>
      <vt:lpstr>Reports!Print_Area</vt:lpstr>
      <vt:lpstr>Sep!Print_Area</vt:lpstr>
      <vt:lpstr>Sheet1!Print_Area</vt:lpstr>
      <vt:lpstr>Sheet6!Print_Area</vt:lpstr>
      <vt:lpstr>Apr!Print_Titles</vt:lpstr>
      <vt:lpstr>Dec!Print_Titles</vt:lpstr>
      <vt:lpstr>Details!Print_Titles</vt:lpstr>
      <vt:lpstr>Feb!Print_Titles</vt:lpstr>
      <vt:lpstr>Jan!Print_Titles</vt:lpstr>
      <vt:lpstr>Jul!Print_Titles</vt:lpstr>
      <vt:lpstr>Jun!Print_Titles</vt:lpstr>
      <vt:lpstr>Mar!Print_Titles</vt:lpstr>
      <vt:lpstr>May!Print_Titles</vt:lpstr>
      <vt:lpstr>Nov!Print_Titles</vt:lpstr>
      <vt:lpstr>Oct!Print_Titles</vt:lpstr>
      <vt:lpstr>Reports!Print_Titles</vt:lpstr>
      <vt:lpstr>Sep!Print_Titles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Omo Olupona</dc:creator>
  <cp:lastModifiedBy>Owner</cp:lastModifiedBy>
  <cp:lastPrinted>2021-07-03T03:13:09Z</cp:lastPrinted>
  <dcterms:created xsi:type="dcterms:W3CDTF">2016-08-23T16:10:48Z</dcterms:created>
  <dcterms:modified xsi:type="dcterms:W3CDTF">2021-07-10T20:27:33Z</dcterms:modified>
</cp:coreProperties>
</file>