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P2\"/>
    </mc:Choice>
  </mc:AlternateContent>
  <xr:revisionPtr revIDLastSave="0" documentId="13_ncr:1_{C8D4F103-992B-4233-A44E-5DB79DDFC11E}" xr6:coauthVersionLast="47" xr6:coauthVersionMax="47" xr10:uidLastSave="{00000000-0000-0000-0000-000000000000}"/>
  <bookViews>
    <workbookView xWindow="-120" yWindow="-120" windowWidth="20730" windowHeight="11160" firstSheet="1" activeTab="3" xr2:uid="{FA055B5E-0D14-4604-B162-4C28DAE04C1B}"/>
  </bookViews>
  <sheets>
    <sheet name="Desempeño_Equipos_FutAme" sheetId="1" r:id="rId1"/>
    <sheet name="Modelos_Linealizables" sheetId="2" r:id="rId2"/>
    <sheet name="DatosAtipicos_RegresionOrigen" sheetId="4" r:id="rId3"/>
    <sheet name="Supuestos_Model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5" l="1"/>
  <c r="J18" i="5" l="1"/>
  <c r="J14" i="5"/>
  <c r="J15" i="5"/>
  <c r="J16" i="5"/>
  <c r="J17" i="5"/>
  <c r="J13" i="5"/>
  <c r="I14" i="5"/>
  <c r="I15" i="5"/>
  <c r="I16" i="5"/>
  <c r="I17" i="5"/>
  <c r="I13" i="5"/>
  <c r="H18" i="5"/>
  <c r="H17" i="5"/>
  <c r="H16" i="5"/>
  <c r="H15" i="5"/>
  <c r="H14" i="5"/>
  <c r="H13" i="5"/>
  <c r="R8" i="2"/>
  <c r="R5" i="2"/>
  <c r="J53" i="5" a="1"/>
  <c r="J53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51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50" i="5"/>
  <c r="E11" i="5"/>
  <c r="G18" i="5"/>
  <c r="E15" i="5"/>
  <c r="F14" i="5"/>
  <c r="F15" i="5"/>
  <c r="E16" i="5" s="1"/>
  <c r="F16" i="5" s="1"/>
  <c r="E17" i="5" s="1"/>
  <c r="F17" i="5" s="1"/>
  <c r="F13" i="5"/>
  <c r="E14" i="5" s="1"/>
  <c r="E13" i="5"/>
  <c r="E10" i="5"/>
  <c r="E9" i="5"/>
  <c r="E8" i="5"/>
  <c r="E7" i="5"/>
  <c r="E6" i="5"/>
  <c r="F30" i="2"/>
  <c r="D30" i="2"/>
  <c r="O104" i="2"/>
  <c r="O82" i="2"/>
  <c r="O60" i="2"/>
  <c r="O38" i="2"/>
  <c r="O1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F3" i="2"/>
  <c r="E3" i="2"/>
  <c r="D3" i="2"/>
  <c r="C3" i="2"/>
  <c r="M17" i="1" l="1"/>
  <c r="M16" i="1"/>
  <c r="M15" i="1"/>
  <c r="M14" i="1"/>
  <c r="M13" i="1"/>
  <c r="M12" i="1"/>
  <c r="M11" i="1"/>
  <c r="M10" i="1"/>
  <c r="M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<sst xmlns="http://schemas.openxmlformats.org/spreadsheetml/2006/main" count="261" uniqueCount="120">
  <si>
    <t>Yardas_Tierra</t>
  </si>
  <si>
    <t>Yardas_Aire</t>
  </si>
  <si>
    <t>Pateo</t>
  </si>
  <si>
    <t>Goles_Campo</t>
  </si>
  <si>
    <t>Perdidas_Balon</t>
  </si>
  <si>
    <t>Yardas_Castigo</t>
  </si>
  <si>
    <t>Carreras</t>
  </si>
  <si>
    <t>Yardas_Tierra_Contrario</t>
  </si>
  <si>
    <t>Yardas_Aire_Contrario</t>
  </si>
  <si>
    <t>correlacion</t>
  </si>
  <si>
    <t>R^{2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</si>
  <si>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</si>
  <si>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</si>
  <si>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</si>
  <si>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</si>
  <si>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</si>
  <si>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</si>
  <si>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</si>
  <si>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</si>
  <si>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</si>
  <si>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es como se asocian las variables</t>
  </si>
  <si>
    <t>el signo me dice la relación entre las variables con la tabla que viene en el pdf</t>
  </si>
  <si>
    <t>Juegos_ganados</t>
  </si>
  <si>
    <t>Y</t>
  </si>
  <si>
    <t>X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</si>
  <si>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</si>
  <si>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</si>
  <si>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</si>
  <si>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</si>
  <si>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</si>
  <si>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</si>
  <si>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</si>
  <si>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</si>
  <si>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</si>
  <si>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</si>
  <si>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</si>
  <si>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</si>
  <si>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</si>
  <si>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</si>
  <si>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</si>
  <si>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</si>
  <si>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</si>
  <si>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</si>
  <si>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</si>
  <si>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</si>
  <si>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</si>
  <si>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</si>
  <si>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</si>
  <si>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</si>
  <si>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MODELO LÍNEAL</t>
  </si>
  <si>
    <t>X*</t>
  </si>
  <si>
    <t>Y*</t>
  </si>
  <si>
    <t>1/X</t>
  </si>
  <si>
    <t>1/Y</t>
  </si>
  <si>
    <t>No significativo</t>
  </si>
  <si>
    <t>MODELO EXPONENCIAL</t>
  </si>
  <si>
    <t>MODELO LOGARÍTMICO</t>
  </si>
  <si>
    <t>MODELO POTENCIA</t>
  </si>
  <si>
    <t>MODELO RECÍPROCO</t>
  </si>
  <si>
    <t>Análisis de los residuales</t>
  </si>
  <si>
    <t>Observación</t>
  </si>
  <si>
    <t>Pronóstico Juegos_ganados</t>
  </si>
  <si>
    <t>Residuos estándares</t>
  </si>
  <si>
    <t>&lt;--IC de B1, x afecta de manera negativa a la respuesta</t>
  </si>
  <si>
    <t>&lt;--IC de B0, no muestra evidencia de regresión al origen</t>
  </si>
  <si>
    <t>&lt;--H0: B1=0 vs Ha:B1 dif de cero</t>
  </si>
  <si>
    <t>Identificación de atípicos</t>
  </si>
  <si>
    <t>&lt;--Sin evidencia de datos atípicos ya que  Idil&lt;3</t>
  </si>
  <si>
    <t>rechazo H0, la regresión es significativa, las variables se relacionan en forma lineal</t>
  </si>
  <si>
    <t>Media cero y distribución normal</t>
  </si>
  <si>
    <t>Varianza constante</t>
  </si>
  <si>
    <t>Incorrelación</t>
  </si>
  <si>
    <t>n</t>
  </si>
  <si>
    <t>#clases</t>
  </si>
  <si>
    <t>min</t>
  </si>
  <si>
    <t>max</t>
  </si>
  <si>
    <t>rango</t>
  </si>
  <si>
    <t>ancho de clase</t>
  </si>
  <si>
    <t># de clase</t>
  </si>
  <si>
    <t>Li</t>
  </si>
  <si>
    <t>Ls</t>
  </si>
  <si>
    <t>Frecuencia</t>
  </si>
  <si>
    <t>Clase</t>
  </si>
  <si>
    <t>y mayor...</t>
  </si>
  <si>
    <t>Esperado</t>
  </si>
  <si>
    <t>Cociente</t>
  </si>
  <si>
    <t>desv. Estandar</t>
  </si>
  <si>
    <t>H0: Los residuales provienen de población con distribución normal de media cero</t>
  </si>
  <si>
    <t>Ha: Los residuales provienen de laguna otra distribución</t>
  </si>
  <si>
    <t>EP=3.0296</t>
  </si>
  <si>
    <t>X2 de tabla</t>
  </si>
  <si>
    <t>3 grados del ibertad porque tenemos 5-1-1</t>
  </si>
  <si>
    <t>Rechazo H0 si 3.021&gt;7.81</t>
  </si>
  <si>
    <t>No rechazo H0, los residuales provienen de distribución normal con media cero al 95% de confianza</t>
  </si>
  <si>
    <t>&lt;--De la gráfica no se aprecian patrones visibles</t>
  </si>
  <si>
    <t>por lo que se cumple varianza constante para residuales</t>
  </si>
  <si>
    <t>Residuos^2</t>
  </si>
  <si>
    <t>Restas^2</t>
  </si>
  <si>
    <t>denominador</t>
  </si>
  <si>
    <t>numerador</t>
  </si>
  <si>
    <t>H1: Los residuales estan correlacionados</t>
  </si>
  <si>
    <t>H0: Los residuales estan incorrelacionados, independientes</t>
  </si>
  <si>
    <t>EP=</t>
  </si>
  <si>
    <t>alfa</t>
  </si>
  <si>
    <t>dL</t>
  </si>
  <si>
    <t>Du</t>
  </si>
  <si>
    <t>EP&gt;dL</t>
  </si>
  <si>
    <t>EP&gt;dU</t>
  </si>
  <si>
    <t>dL&lt;dU&lt;EP</t>
  </si>
  <si>
    <t>No rechazo H0, los residuales estan incorrelacionados o son independientes con una confianza del 95%</t>
  </si>
  <si>
    <t>1801 yardas por tierra del contrario</t>
  </si>
  <si>
    <t>La estimación de juegos ganados</t>
  </si>
  <si>
    <t>redondeo a 9</t>
  </si>
  <si>
    <t>3000 yardas por contrario</t>
  </si>
  <si>
    <t>*Al final se hace la tabla de modelos linealizables, el reporte</t>
  </si>
  <si>
    <t>Dado lo anterior se tiene que los residuales cumplen los supuestos del modelo</t>
  </si>
  <si>
    <t>Supuestos del modelo:</t>
  </si>
  <si>
    <t>Modelo Líneal</t>
  </si>
  <si>
    <t>Transformaciones</t>
  </si>
  <si>
    <t>Datos--Analisis de datos--Histograma--Residuos--Ls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</si>
</sst>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8" xfId="0" applyFont="1" applyFill="1" applyBorder="1" applyAlignment="1">
      <alignment horizontal="centerContinuous"/>
    </xf>
    <xf numFmtId="0" fontId="0" fillId="2" borderId="6" xfId="0" applyFill="1" applyBorder="1" applyAlignment="1"/>
    <xf numFmtId="0" fontId="0" fillId="0" borderId="6" xfId="0" applyFill="1" applyBorder="1" applyAlignment="1"/>
    <xf numFmtId="0" fontId="0" fillId="0" borderId="9" xfId="0" applyFill="1" applyBorder="1" applyAlignment="1"/>
    <xf numFmtId="0" fontId="2" fillId="0" borderId="8" xfId="0" applyFont="1" applyFill="1" applyBorder="1" applyAlignment="1">
      <alignment horizontal="center"/>
    </xf>
    <xf numFmtId="0" fontId="0" fillId="2" borderId="0" xfId="0" applyFill="1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2" borderId="2" xfId="0" applyFill="1" applyBorder="1" applyAlignment="1"/>
    <xf numFmtId="11" fontId="0" fillId="2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2" borderId="0" xfId="0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1" xfId="0" applyFill="1" applyBorder="1"/>
    <xf numFmtId="0" fontId="0" fillId="5" borderId="11" xfId="0" applyFill="1" applyBorder="1"/>
    <xf numFmtId="0" fontId="0" fillId="5" borderId="11" xfId="0" applyFill="1" applyBorder="1" applyAlignment="1"/>
    <xf numFmtId="0" fontId="0" fillId="6" borderId="11" xfId="0" applyFill="1" applyBorder="1"/>
    <xf numFmtId="0" fontId="0" fillId="0" borderId="11" xfId="0" applyBorder="1"/>
    <xf numFmtId="0" fontId="0" fillId="0" borderId="11" xfId="0" applyFill="1" applyBorder="1" applyAlignment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2" borderId="11" xfId="0" applyFill="1" applyBorder="1"/>
    <xf numFmtId="0" fontId="0" fillId="3" borderId="11" xfId="0" applyFill="1" applyBorder="1"/>
    <xf numFmtId="0" fontId="0" fillId="6" borderId="11" xfId="0" applyFill="1" applyBorder="1" applyAlignment="1">
      <alignment horizontal="center"/>
    </xf>
    <xf numFmtId="0" fontId="0" fillId="8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Modelos_Linealizables!$B$2</c:f>
              <c:strCache>
                <c:ptCount val="1"/>
                <c:pt idx="0">
                  <c:v>Juegos_ganados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399729055875"/>
                  <c:y val="-0.128178267572460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Modelos_Linealizables!$A$3:$A$30</c:f>
              <c:numCache>
                <c:formatCode>General</c:formatCode>
                <c:ptCount val="28"/>
                <c:pt idx="0">
                  <c:v>2205</c:v>
                </c:pt>
                <c:pt idx="1">
                  <c:v>2096</c:v>
                </c:pt>
                <c:pt idx="2">
                  <c:v>1847</c:v>
                </c:pt>
                <c:pt idx="3">
                  <c:v>1903</c:v>
                </c:pt>
                <c:pt idx="4">
                  <c:v>1457</c:v>
                </c:pt>
                <c:pt idx="5">
                  <c:v>1848</c:v>
                </c:pt>
                <c:pt idx="6">
                  <c:v>1564</c:v>
                </c:pt>
                <c:pt idx="7">
                  <c:v>1821</c:v>
                </c:pt>
                <c:pt idx="8">
                  <c:v>2577</c:v>
                </c:pt>
                <c:pt idx="9">
                  <c:v>2476</c:v>
                </c:pt>
                <c:pt idx="10">
                  <c:v>1984</c:v>
                </c:pt>
                <c:pt idx="11">
                  <c:v>1917</c:v>
                </c:pt>
                <c:pt idx="12">
                  <c:v>1761</c:v>
                </c:pt>
                <c:pt idx="13">
                  <c:v>1709</c:v>
                </c:pt>
                <c:pt idx="14">
                  <c:v>1901</c:v>
                </c:pt>
                <c:pt idx="15">
                  <c:v>2288</c:v>
                </c:pt>
                <c:pt idx="16">
                  <c:v>2072</c:v>
                </c:pt>
                <c:pt idx="17">
                  <c:v>2861</c:v>
                </c:pt>
                <c:pt idx="18">
                  <c:v>2411</c:v>
                </c:pt>
                <c:pt idx="19">
                  <c:v>2289</c:v>
                </c:pt>
                <c:pt idx="20">
                  <c:v>2203</c:v>
                </c:pt>
                <c:pt idx="21">
                  <c:v>2592</c:v>
                </c:pt>
                <c:pt idx="22">
                  <c:v>2053</c:v>
                </c:pt>
                <c:pt idx="23">
                  <c:v>1979</c:v>
                </c:pt>
                <c:pt idx="24">
                  <c:v>2048</c:v>
                </c:pt>
                <c:pt idx="25">
                  <c:v>1786</c:v>
                </c:pt>
                <c:pt idx="26">
                  <c:v>2876</c:v>
                </c:pt>
                <c:pt idx="27">
                  <c:v>2560</c:v>
                </c:pt>
              </c:numCache>
            </c:numRef>
          </c:xVal>
          <c:yVal>
            <c:numRef>
              <c:f>Modelos_Linealizables!$B$3:$B$30</c:f>
              <c:numCache>
                <c:formatCode>General</c:formatCode>
                <c:ptCount val="28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10</c:v>
                </c:pt>
                <c:pt idx="24">
                  <c:v>6</c:v>
                </c:pt>
                <c:pt idx="25">
                  <c:v>8</c:v>
                </c:pt>
                <c:pt idx="26">
                  <c:v>2</c:v>
                </c:pt>
                <c:pt idx="27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3-42FD-A20B-DA1FF037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35360"/>
        <c:axId val="389130368"/>
      </c:scatterChart>
      <c:valAx>
        <c:axId val="3891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9130368"/>
        <c:crosses val="autoZero"/>
        <c:crossBetween val="midCat"/>
      </c:valAx>
      <c:valAx>
        <c:axId val="3891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913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Estimaciones</a:t>
            </a:r>
            <a:r>
              <a:rPr lang="es-MX" baseline="0"/>
              <a:t> vs </a:t>
            </a:r>
            <a:r>
              <a:rPr lang="es-MX"/>
              <a:t>Residuos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Supuestos_Modelo!$B$1</c:f>
              <c:strCache>
                <c:ptCount val="1"/>
                <c:pt idx="0">
                  <c:v>Residuos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Supuestos_Modelo!$A$2:$A$29</c:f>
              <c:numCache>
                <c:formatCode>General</c:formatCode>
                <c:ptCount val="28"/>
                <c:pt idx="0">
                  <c:v>6.2979047742942118</c:v>
                </c:pt>
                <c:pt idx="1">
                  <c:v>7.0636407042430331</c:v>
                </c:pt>
                <c:pt idx="2">
                  <c:v>8.812890672658229</c:v>
                </c:pt>
                <c:pt idx="3">
                  <c:v>8.4194850572716788</c:v>
                </c:pt>
                <c:pt idx="4">
                  <c:v>11.552679779814559</c:v>
                </c:pt>
                <c:pt idx="5">
                  <c:v>8.8058655723834693</c:v>
                </c:pt>
                <c:pt idx="6">
                  <c:v>10.800994050415259</c:v>
                </c:pt>
                <c:pt idx="7">
                  <c:v>8.9955432798019839</c:v>
                </c:pt>
                <c:pt idx="8">
                  <c:v>3.6845674720835575</c:v>
                </c:pt>
                <c:pt idx="9">
                  <c:v>4.3941025998343015</c:v>
                </c:pt>
                <c:pt idx="10">
                  <c:v>7.8504519350161335</c:v>
                </c:pt>
                <c:pt idx="11">
                  <c:v>8.3211336534250417</c:v>
                </c:pt>
                <c:pt idx="12">
                  <c:v>9.4170492962875727</c:v>
                </c:pt>
                <c:pt idx="13">
                  <c:v>9.7823545105750842</c:v>
                </c:pt>
                <c:pt idx="14">
                  <c:v>8.4335352578211982</c:v>
                </c:pt>
                <c:pt idx="15">
                  <c:v>5.7148214514891471</c:v>
                </c:pt>
                <c:pt idx="16">
                  <c:v>7.2322431108372687</c:v>
                </c:pt>
                <c:pt idx="17">
                  <c:v>1.6894389940517698</c:v>
                </c:pt>
                <c:pt idx="18">
                  <c:v>4.8507341176936869</c:v>
                </c:pt>
                <c:pt idx="19">
                  <c:v>5.7077963512143874</c:v>
                </c:pt>
                <c:pt idx="20">
                  <c:v>6.3119549748437311</c:v>
                </c:pt>
                <c:pt idx="21">
                  <c:v>3.579190967962159</c:v>
                </c:pt>
                <c:pt idx="22">
                  <c:v>7.3657200160577059</c:v>
                </c:pt>
                <c:pt idx="23">
                  <c:v>7.8855774363899318</c:v>
                </c:pt>
                <c:pt idx="24">
                  <c:v>7.4008455174315042</c:v>
                </c:pt>
                <c:pt idx="25">
                  <c:v>9.2414217894185775</c:v>
                </c:pt>
                <c:pt idx="26">
                  <c:v>1.5840624899303712</c:v>
                </c:pt>
                <c:pt idx="27">
                  <c:v>3.8039941767544754</c:v>
                </c:pt>
              </c:numCache>
            </c:numRef>
          </c:xVal>
          <c:yVal>
            <c:numRef>
              <c:f>Supuestos_Modelo!$B$2:$B$29</c:f>
              <c:numCache>
                <c:formatCode>General</c:formatCode>
                <c:ptCount val="28"/>
                <c:pt idx="0">
                  <c:v>3.7020952257057882</c:v>
                </c:pt>
                <c:pt idx="1">
                  <c:v>3.9363592957569669</c:v>
                </c:pt>
                <c:pt idx="2">
                  <c:v>2.187109327341771</c:v>
                </c:pt>
                <c:pt idx="3">
                  <c:v>4.5805149427283212</c:v>
                </c:pt>
                <c:pt idx="4">
                  <c:v>-1.5526797798145591</c:v>
                </c:pt>
                <c:pt idx="5">
                  <c:v>2.1941344276165307</c:v>
                </c:pt>
                <c:pt idx="6">
                  <c:v>-0.80099405041525884</c:v>
                </c:pt>
                <c:pt idx="7">
                  <c:v>2.0044567201980161</c:v>
                </c:pt>
                <c:pt idx="8">
                  <c:v>0.3154325279164425</c:v>
                </c:pt>
                <c:pt idx="9">
                  <c:v>-2.3941025998343015</c:v>
                </c:pt>
                <c:pt idx="10">
                  <c:v>-0.85045193501613348</c:v>
                </c:pt>
                <c:pt idx="11">
                  <c:v>1.6788663465749583</c:v>
                </c:pt>
                <c:pt idx="12">
                  <c:v>-0.4170492962875727</c:v>
                </c:pt>
                <c:pt idx="13">
                  <c:v>-0.78235451057508421</c:v>
                </c:pt>
                <c:pt idx="14">
                  <c:v>-2.4335352578211982</c:v>
                </c:pt>
                <c:pt idx="15">
                  <c:v>-0.71482145148914711</c:v>
                </c:pt>
                <c:pt idx="16">
                  <c:v>-2.2322431108372687</c:v>
                </c:pt>
                <c:pt idx="17">
                  <c:v>3.3105610059482302</c:v>
                </c:pt>
                <c:pt idx="18">
                  <c:v>1.1492658823063131</c:v>
                </c:pt>
                <c:pt idx="19">
                  <c:v>-1.7077963512143874</c:v>
                </c:pt>
                <c:pt idx="20">
                  <c:v>-3.3119549748437311</c:v>
                </c:pt>
                <c:pt idx="21">
                  <c:v>-0.57919096796215896</c:v>
                </c:pt>
                <c:pt idx="22">
                  <c:v>-3.3657200160577059</c:v>
                </c:pt>
                <c:pt idx="23">
                  <c:v>2.1144225636100682</c:v>
                </c:pt>
                <c:pt idx="24">
                  <c:v>-1.4008455174315042</c:v>
                </c:pt>
                <c:pt idx="25">
                  <c:v>-1.2414217894185775</c:v>
                </c:pt>
                <c:pt idx="26">
                  <c:v>0.41593751006962876</c:v>
                </c:pt>
                <c:pt idx="27">
                  <c:v>-3.8039941667544754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A-439C-9949-7D1B2F39A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692752"/>
        <c:axId val="926688592"/>
      </c:scatterChart>
      <c:valAx>
        <c:axId val="9266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6688592"/>
        <c:crosses val="autoZero"/>
        <c:crossBetween val="midCat"/>
      </c:valAx>
      <c:valAx>
        <c:axId val="92668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669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656166</xdr:colOff>
      <xdr:row>19</xdr:row>
      <xdr:rowOff>158751</xdr:rowOff>
    </xdr:from>
    <xdr:to>
      <xdr:col>16</xdr:col>
      <xdr:colOff>359833</xdr:colOff>
      <xdr:row>28</xdr:row>
      <xdr:rowOff>2333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9A659C-CF4C-4C58-AB9F-33B7BEAAE6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40" t="65180" r="58211" b="9251"/>
        <a:stretch/>
      </xdr:blipFill>
      <xdr:spPr>
        <a:xfrm>
          <a:off x="8276166" y="3778251"/>
          <a:ext cx="4275667" cy="15580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629706</xdr:colOff>
      <xdr:row>0</xdr:row>
      <xdr:rowOff>189441</xdr:rowOff>
    </xdr:from>
    <xdr:to>
      <xdr:col>16</xdr:col>
      <xdr:colOff>179915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6EDE1-FB97-40B0-9E1A-CACFDCD44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29</xdr:row>
      <xdr:rowOff>190499</xdr:rowOff>
    </xdr:from>
    <xdr:to>
      <xdr:col>8</xdr:col>
      <xdr:colOff>123825</xdr:colOff>
      <xdr:row>44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0A8BBA-7D4E-40F9-82CC-E28C9B71A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D38E-E4FB-4B76-8B0B-00E2694010ED}">
  <dimension ref="A1:M29"/>
  <sheetViews>
    <sheetView zoomScale="90" zoomScaleNormal="90" workbookViewId="0">
      <selection activeCell="B6" sqref="B6"/>
    </sheetView>
  </sheetViews>
  <sheetFormatPr baseColWidth="10" defaultRowHeight="15" x14ac:dyDescent="0.25"/>
  <sheetData>
    <row r="1" spans="1:13" x14ac:dyDescent="0.25">
      <c r="A1" s="39" t="s">
        <v>22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</row>
    <row r="2" spans="1:13" x14ac:dyDescent="0.25">
      <c r="A2" s="34">
        <v>10</v>
      </c>
      <c r="B2" s="34">
        <v>2113</v>
      </c>
      <c r="C2" s="34">
        <v>1985</v>
      </c>
      <c r="D2" s="34">
        <v>38.9</v>
      </c>
      <c r="E2" s="34">
        <v>64.7</v>
      </c>
      <c r="F2" s="34">
        <v>4</v>
      </c>
      <c r="G2" s="34">
        <v>868</v>
      </c>
      <c r="H2" s="34">
        <v>59.7</v>
      </c>
      <c r="I2" s="34">
        <v>2205</v>
      </c>
      <c r="J2" s="34">
        <v>1917</v>
      </c>
    </row>
    <row r="3" spans="1:13" x14ac:dyDescent="0.25">
      <c r="A3" s="34">
        <v>11</v>
      </c>
      <c r="B3" s="34">
        <v>2003</v>
      </c>
      <c r="C3" s="34">
        <v>2855</v>
      </c>
      <c r="D3" s="34">
        <v>38.799999999999997</v>
      </c>
      <c r="E3" s="34">
        <v>61.3</v>
      </c>
      <c r="F3" s="34">
        <v>3</v>
      </c>
      <c r="G3" s="34">
        <v>615</v>
      </c>
      <c r="H3" s="34">
        <v>55</v>
      </c>
      <c r="I3" s="34">
        <v>2096</v>
      </c>
      <c r="J3" s="34">
        <v>1575</v>
      </c>
    </row>
    <row r="4" spans="1:13" x14ac:dyDescent="0.25">
      <c r="A4" s="34">
        <v>11</v>
      </c>
      <c r="B4" s="34">
        <v>2957</v>
      </c>
      <c r="C4" s="34">
        <v>1737</v>
      </c>
      <c r="D4" s="34">
        <v>40.1</v>
      </c>
      <c r="E4" s="34">
        <v>60</v>
      </c>
      <c r="F4" s="34">
        <v>14</v>
      </c>
      <c r="G4" s="34">
        <v>914</v>
      </c>
      <c r="H4" s="34">
        <v>65.599999999999994</v>
      </c>
      <c r="I4" s="34">
        <v>1847</v>
      </c>
      <c r="J4" s="34">
        <v>2175</v>
      </c>
    </row>
    <row r="5" spans="1:13" x14ac:dyDescent="0.25">
      <c r="A5" s="34">
        <v>13</v>
      </c>
      <c r="B5" s="34">
        <v>2285</v>
      </c>
      <c r="C5" s="34">
        <v>2905</v>
      </c>
      <c r="D5" s="34">
        <v>41.6</v>
      </c>
      <c r="E5" s="34">
        <v>45.3</v>
      </c>
      <c r="F5" s="34">
        <v>-4</v>
      </c>
      <c r="G5" s="34">
        <v>957</v>
      </c>
      <c r="H5" s="34">
        <v>61.4</v>
      </c>
      <c r="I5" s="34">
        <v>1903</v>
      </c>
      <c r="J5" s="34">
        <v>2476</v>
      </c>
    </row>
    <row r="6" spans="1:13" x14ac:dyDescent="0.25">
      <c r="A6" s="34">
        <v>10</v>
      </c>
      <c r="B6" s="34">
        <v>2971</v>
      </c>
      <c r="C6" s="34">
        <v>1666</v>
      </c>
      <c r="D6" s="34">
        <v>39.200000000000003</v>
      </c>
      <c r="E6" s="34">
        <v>53.8</v>
      </c>
      <c r="F6" s="34">
        <v>15</v>
      </c>
      <c r="G6" s="34">
        <v>836</v>
      </c>
      <c r="H6" s="34">
        <v>66.099999999999994</v>
      </c>
      <c r="I6" s="34">
        <v>1457</v>
      </c>
      <c r="J6" s="34">
        <v>1866</v>
      </c>
    </row>
    <row r="7" spans="1:13" x14ac:dyDescent="0.25">
      <c r="A7" s="34">
        <v>11</v>
      </c>
      <c r="B7" s="34">
        <v>2309</v>
      </c>
      <c r="C7" s="34">
        <v>2927</v>
      </c>
      <c r="D7" s="34">
        <v>39.700000000000003</v>
      </c>
      <c r="E7" s="34">
        <v>74.099999999999994</v>
      </c>
      <c r="F7" s="34">
        <v>8</v>
      </c>
      <c r="G7" s="34">
        <v>786</v>
      </c>
      <c r="H7" s="34">
        <v>61</v>
      </c>
      <c r="I7" s="34">
        <v>1848</v>
      </c>
      <c r="J7" s="34">
        <v>2339</v>
      </c>
    </row>
    <row r="8" spans="1:13" x14ac:dyDescent="0.25">
      <c r="A8" s="34">
        <v>10</v>
      </c>
      <c r="B8" s="34">
        <v>2528</v>
      </c>
      <c r="C8" s="34">
        <v>2341</v>
      </c>
      <c r="D8" s="34">
        <v>38.1</v>
      </c>
      <c r="E8" s="34">
        <v>65.400000000000006</v>
      </c>
      <c r="F8" s="34">
        <v>12</v>
      </c>
      <c r="G8" s="34">
        <v>754</v>
      </c>
      <c r="H8" s="34">
        <v>66.099999999999994</v>
      </c>
      <c r="I8" s="34">
        <v>1564</v>
      </c>
      <c r="J8" s="34">
        <v>2092</v>
      </c>
      <c r="L8" s="34" t="s">
        <v>9</v>
      </c>
      <c r="M8" s="34" t="s">
        <v>10</v>
      </c>
    </row>
    <row r="9" spans="1:13" x14ac:dyDescent="0.25">
      <c r="A9" s="34">
        <v>11</v>
      </c>
      <c r="B9" s="34">
        <v>2147</v>
      </c>
      <c r="C9" s="34">
        <v>2737</v>
      </c>
      <c r="D9" s="34">
        <v>37</v>
      </c>
      <c r="E9" s="34">
        <v>78.3</v>
      </c>
      <c r="F9" s="34">
        <v>-1</v>
      </c>
      <c r="G9" s="34">
        <v>761</v>
      </c>
      <c r="H9" s="34">
        <v>58</v>
      </c>
      <c r="I9" s="34">
        <v>1821</v>
      </c>
      <c r="J9" s="34">
        <v>1909</v>
      </c>
      <c r="L9" s="34" t="s">
        <v>11</v>
      </c>
      <c r="M9" s="34">
        <f>CORREL(A1:A29,B1:B29)</f>
        <v>0.59323604346086789</v>
      </c>
    </row>
    <row r="10" spans="1:13" x14ac:dyDescent="0.25">
      <c r="A10" s="34">
        <v>4</v>
      </c>
      <c r="B10" s="34">
        <v>1689</v>
      </c>
      <c r="C10" s="34">
        <v>1414</v>
      </c>
      <c r="D10" s="34">
        <v>42.1</v>
      </c>
      <c r="E10" s="34">
        <v>47.6</v>
      </c>
      <c r="F10" s="34">
        <v>-3</v>
      </c>
      <c r="G10" s="34">
        <v>714</v>
      </c>
      <c r="H10" s="34">
        <v>57</v>
      </c>
      <c r="I10" s="34">
        <v>2577</v>
      </c>
      <c r="J10" s="34">
        <v>2001</v>
      </c>
      <c r="L10" s="34" t="s">
        <v>12</v>
      </c>
      <c r="M10" s="34">
        <f>CORREL(A2:A$29,C2:C$29)</f>
        <v>0.48273469886061876</v>
      </c>
    </row>
    <row r="11" spans="1:13" x14ac:dyDescent="0.25">
      <c r="A11" s="34">
        <v>2</v>
      </c>
      <c r="B11" s="34">
        <v>2566</v>
      </c>
      <c r="C11" s="34">
        <v>1838</v>
      </c>
      <c r="D11" s="34">
        <v>42.3</v>
      </c>
      <c r="E11" s="34">
        <v>54.2</v>
      </c>
      <c r="F11" s="34">
        <v>-1</v>
      </c>
      <c r="G11" s="34">
        <v>797</v>
      </c>
      <c r="H11" s="34">
        <v>58.9</v>
      </c>
      <c r="I11" s="34">
        <v>2476</v>
      </c>
      <c r="J11" s="34">
        <v>2254</v>
      </c>
      <c r="L11" s="34" t="s">
        <v>13</v>
      </c>
      <c r="M11" s="34">
        <f>CORREL(A$2:A$29,D2:D$29)</f>
        <v>-8.0812471820023907E-2</v>
      </c>
    </row>
    <row r="12" spans="1:13" x14ac:dyDescent="0.25">
      <c r="A12" s="34">
        <v>7</v>
      </c>
      <c r="B12" s="34">
        <v>2363</v>
      </c>
      <c r="C12" s="34">
        <v>1480</v>
      </c>
      <c r="D12" s="34">
        <v>37.299999999999997</v>
      </c>
      <c r="E12" s="34">
        <v>48</v>
      </c>
      <c r="F12" s="34">
        <v>19</v>
      </c>
      <c r="G12" s="34">
        <v>984</v>
      </c>
      <c r="H12" s="34">
        <v>67.5</v>
      </c>
      <c r="I12" s="34">
        <v>1984</v>
      </c>
      <c r="J12" s="34">
        <v>2217</v>
      </c>
      <c r="L12" s="34" t="s">
        <v>14</v>
      </c>
      <c r="M12" s="34">
        <f>CORREL(A$2:A$29,E$2:E$29)</f>
        <v>0.25847476733858321</v>
      </c>
    </row>
    <row r="13" spans="1:13" x14ac:dyDescent="0.25">
      <c r="A13" s="34">
        <v>10</v>
      </c>
      <c r="B13" s="34">
        <v>2109</v>
      </c>
      <c r="C13" s="34">
        <v>2191</v>
      </c>
      <c r="D13" s="34">
        <v>39.5</v>
      </c>
      <c r="E13" s="34">
        <v>51.9</v>
      </c>
      <c r="F13" s="34">
        <v>6</v>
      </c>
      <c r="G13" s="34">
        <v>700</v>
      </c>
      <c r="H13" s="34">
        <v>57.2</v>
      </c>
      <c r="I13" s="34">
        <v>1917</v>
      </c>
      <c r="J13" s="34">
        <v>1758</v>
      </c>
      <c r="L13" s="34" t="s">
        <v>15</v>
      </c>
      <c r="M13" s="34">
        <f>CORREL(A$2:A$29,F$2:F$29)</f>
        <v>0.5132062428628501</v>
      </c>
    </row>
    <row r="14" spans="1:13" x14ac:dyDescent="0.25">
      <c r="A14" s="34">
        <v>9</v>
      </c>
      <c r="B14" s="34">
        <v>2295</v>
      </c>
      <c r="C14" s="34">
        <v>2229</v>
      </c>
      <c r="D14" s="34">
        <v>37.4</v>
      </c>
      <c r="E14" s="34">
        <v>53.6</v>
      </c>
      <c r="F14" s="34">
        <v>-5</v>
      </c>
      <c r="G14" s="34">
        <v>1037</v>
      </c>
      <c r="H14" s="34">
        <v>58.8</v>
      </c>
      <c r="I14" s="34">
        <v>1761</v>
      </c>
      <c r="J14" s="34">
        <v>2032</v>
      </c>
      <c r="L14" s="34" t="s">
        <v>16</v>
      </c>
      <c r="M14" s="34">
        <f>CORREL(A$2:A$29,G$2:G$29)</f>
        <v>0.22403447248365652</v>
      </c>
    </row>
    <row r="15" spans="1:13" x14ac:dyDescent="0.25">
      <c r="A15" s="34">
        <v>9</v>
      </c>
      <c r="B15" s="34">
        <v>1932</v>
      </c>
      <c r="C15" s="34">
        <v>2204</v>
      </c>
      <c r="D15" s="34">
        <v>35.1</v>
      </c>
      <c r="E15" s="34">
        <v>71.400000000000006</v>
      </c>
      <c r="F15" s="34">
        <v>3</v>
      </c>
      <c r="G15" s="34">
        <v>986</v>
      </c>
      <c r="H15" s="34">
        <v>58.6</v>
      </c>
      <c r="I15" s="34">
        <v>1709</v>
      </c>
      <c r="J15" s="34">
        <v>2025</v>
      </c>
      <c r="L15" s="34" t="s">
        <v>17</v>
      </c>
      <c r="M15" s="34">
        <f>CORREL(A$2:A$29,H$2:H$29)</f>
        <v>0.54534103604587481</v>
      </c>
    </row>
    <row r="16" spans="1:13" x14ac:dyDescent="0.25">
      <c r="A16" s="34">
        <v>6</v>
      </c>
      <c r="B16" s="34">
        <v>2213</v>
      </c>
      <c r="C16" s="34">
        <v>2140</v>
      </c>
      <c r="D16" s="34">
        <v>38.799999999999997</v>
      </c>
      <c r="E16" s="34">
        <v>58.3</v>
      </c>
      <c r="F16" s="34">
        <v>6</v>
      </c>
      <c r="G16" s="34">
        <v>819</v>
      </c>
      <c r="H16" s="34">
        <v>59.2</v>
      </c>
      <c r="I16" s="34">
        <v>1901</v>
      </c>
      <c r="J16" s="34">
        <v>1686</v>
      </c>
      <c r="L16" s="38" t="s">
        <v>18</v>
      </c>
      <c r="M16" s="38">
        <f>CORREL(A$2:A$29,I$2:I$29)</f>
        <v>-0.73802730389238325</v>
      </c>
    </row>
    <row r="17" spans="1:13" x14ac:dyDescent="0.25">
      <c r="A17" s="34">
        <v>5</v>
      </c>
      <c r="B17" s="34">
        <v>1722</v>
      </c>
      <c r="C17" s="34">
        <v>1730</v>
      </c>
      <c r="D17" s="34">
        <v>36.6</v>
      </c>
      <c r="E17" s="34">
        <v>52.6</v>
      </c>
      <c r="F17" s="34">
        <v>-19</v>
      </c>
      <c r="G17" s="34">
        <v>791</v>
      </c>
      <c r="H17" s="34">
        <v>54.4</v>
      </c>
      <c r="I17" s="34">
        <v>2288</v>
      </c>
      <c r="J17" s="34">
        <v>1835</v>
      </c>
      <c r="L17" s="34" t="s">
        <v>19</v>
      </c>
      <c r="M17" s="34">
        <f>CORREL(A$2:A$29,J$2:J$29)</f>
        <v>-0.30374811133891561</v>
      </c>
    </row>
    <row r="18" spans="1:13" x14ac:dyDescent="0.25">
      <c r="A18" s="34">
        <v>5</v>
      </c>
      <c r="B18" s="34">
        <v>1498</v>
      </c>
      <c r="C18" s="34">
        <v>2072</v>
      </c>
      <c r="D18" s="34">
        <v>35.299999999999997</v>
      </c>
      <c r="E18" s="34">
        <v>59.3</v>
      </c>
      <c r="F18" s="34">
        <v>-5</v>
      </c>
      <c r="G18" s="34">
        <v>776</v>
      </c>
      <c r="H18" s="34">
        <v>49.6</v>
      </c>
      <c r="I18" s="34">
        <v>2072</v>
      </c>
      <c r="J18" s="34">
        <v>1914</v>
      </c>
      <c r="L18" t="s">
        <v>20</v>
      </c>
    </row>
    <row r="19" spans="1:13" x14ac:dyDescent="0.25">
      <c r="A19" s="34">
        <v>5</v>
      </c>
      <c r="B19" s="34">
        <v>1873</v>
      </c>
      <c r="C19" s="34">
        <v>2929</v>
      </c>
      <c r="D19" s="34">
        <v>41.1</v>
      </c>
      <c r="E19" s="34">
        <v>55.3</v>
      </c>
      <c r="F19" s="34">
        <v>10</v>
      </c>
      <c r="G19" s="34">
        <v>789</v>
      </c>
      <c r="H19" s="34">
        <v>54.3</v>
      </c>
      <c r="I19" s="34">
        <v>2861</v>
      </c>
      <c r="J19" s="34">
        <v>2496</v>
      </c>
      <c r="L19" t="s">
        <v>21</v>
      </c>
    </row>
    <row r="20" spans="1:13" x14ac:dyDescent="0.25">
      <c r="A20" s="34">
        <v>6</v>
      </c>
      <c r="B20" s="34">
        <v>2118</v>
      </c>
      <c r="C20" s="34">
        <v>2268</v>
      </c>
      <c r="D20" s="34">
        <v>38.200000000000003</v>
      </c>
      <c r="E20" s="34">
        <v>69.599999999999994</v>
      </c>
      <c r="F20" s="34">
        <v>6</v>
      </c>
      <c r="G20" s="34">
        <v>582</v>
      </c>
      <c r="H20" s="34">
        <v>58.7</v>
      </c>
      <c r="I20" s="34">
        <v>2411</v>
      </c>
      <c r="J20" s="34">
        <v>2670</v>
      </c>
    </row>
    <row r="21" spans="1:13" x14ac:dyDescent="0.25">
      <c r="A21" s="34">
        <v>4</v>
      </c>
      <c r="B21" s="34">
        <v>1775</v>
      </c>
      <c r="C21" s="34">
        <v>1983</v>
      </c>
      <c r="D21" s="34">
        <v>39.299999999999997</v>
      </c>
      <c r="E21" s="34">
        <v>78.3</v>
      </c>
      <c r="F21" s="34">
        <v>7</v>
      </c>
      <c r="G21" s="34">
        <v>901</v>
      </c>
      <c r="H21" s="34">
        <v>51.7</v>
      </c>
      <c r="I21" s="34">
        <v>2289</v>
      </c>
      <c r="J21" s="34">
        <v>2202</v>
      </c>
    </row>
    <row r="22" spans="1:13" x14ac:dyDescent="0.25">
      <c r="A22" s="34">
        <v>3</v>
      </c>
      <c r="B22" s="34">
        <v>1904</v>
      </c>
      <c r="C22" s="34">
        <v>1792</v>
      </c>
      <c r="D22" s="34">
        <v>39.700000000000003</v>
      </c>
      <c r="E22" s="34">
        <v>38.1</v>
      </c>
      <c r="F22" s="34">
        <v>-9</v>
      </c>
      <c r="G22" s="34">
        <v>734</v>
      </c>
      <c r="H22" s="34">
        <v>61.9</v>
      </c>
      <c r="I22" s="34">
        <v>2203</v>
      </c>
      <c r="J22" s="34">
        <v>1988</v>
      </c>
    </row>
    <row r="23" spans="1:13" x14ac:dyDescent="0.25">
      <c r="A23" s="34">
        <v>3</v>
      </c>
      <c r="B23" s="34">
        <v>1929</v>
      </c>
      <c r="C23" s="34">
        <v>1606</v>
      </c>
      <c r="D23" s="34">
        <v>39.700000000000003</v>
      </c>
      <c r="E23" s="34">
        <v>68.8</v>
      </c>
      <c r="F23" s="34">
        <v>-21</v>
      </c>
      <c r="G23" s="34">
        <v>627</v>
      </c>
      <c r="H23" s="34">
        <v>52.7</v>
      </c>
      <c r="I23" s="34">
        <v>2592</v>
      </c>
      <c r="J23" s="34">
        <v>2324</v>
      </c>
    </row>
    <row r="24" spans="1:13" x14ac:dyDescent="0.25">
      <c r="A24" s="34">
        <v>4</v>
      </c>
      <c r="B24" s="34">
        <v>2080</v>
      </c>
      <c r="C24" s="34">
        <v>1492</v>
      </c>
      <c r="D24" s="34">
        <v>35.5</v>
      </c>
      <c r="E24" s="34">
        <v>68.8</v>
      </c>
      <c r="F24" s="34">
        <v>-8</v>
      </c>
      <c r="G24" s="34">
        <v>722</v>
      </c>
      <c r="H24" s="34">
        <v>57.8</v>
      </c>
      <c r="I24" s="34">
        <v>2053</v>
      </c>
      <c r="J24" s="34">
        <v>2550</v>
      </c>
    </row>
    <row r="25" spans="1:13" x14ac:dyDescent="0.25">
      <c r="A25" s="34">
        <v>10</v>
      </c>
      <c r="B25" s="34">
        <v>2301</v>
      </c>
      <c r="C25" s="34">
        <v>2835</v>
      </c>
      <c r="D25" s="34">
        <v>35.299999999999997</v>
      </c>
      <c r="E25" s="34">
        <v>74.099999999999994</v>
      </c>
      <c r="F25" s="34">
        <v>2</v>
      </c>
      <c r="G25" s="34">
        <v>683</v>
      </c>
      <c r="H25" s="34">
        <v>59.7</v>
      </c>
      <c r="I25" s="34">
        <v>1979</v>
      </c>
      <c r="J25" s="34">
        <v>2110</v>
      </c>
    </row>
    <row r="26" spans="1:13" x14ac:dyDescent="0.25">
      <c r="A26" s="34">
        <v>6</v>
      </c>
      <c r="B26" s="34">
        <v>2040</v>
      </c>
      <c r="C26" s="34">
        <v>2416</v>
      </c>
      <c r="D26" s="34">
        <v>38.700000000000003</v>
      </c>
      <c r="E26" s="34">
        <v>50</v>
      </c>
      <c r="F26" s="34">
        <v>0</v>
      </c>
      <c r="G26" s="34">
        <v>576</v>
      </c>
      <c r="H26" s="34">
        <v>54.9</v>
      </c>
      <c r="I26" s="34">
        <v>2048</v>
      </c>
      <c r="J26" s="34">
        <v>2628</v>
      </c>
    </row>
    <row r="27" spans="1:13" x14ac:dyDescent="0.25">
      <c r="A27" s="34">
        <v>8</v>
      </c>
      <c r="B27" s="34">
        <v>2447</v>
      </c>
      <c r="C27" s="34">
        <v>1638</v>
      </c>
      <c r="D27" s="34">
        <v>39.9</v>
      </c>
      <c r="E27" s="34">
        <v>57.1</v>
      </c>
      <c r="F27" s="34">
        <v>-8</v>
      </c>
      <c r="G27" s="34">
        <v>848</v>
      </c>
      <c r="H27" s="34">
        <v>65.3</v>
      </c>
      <c r="I27" s="34">
        <v>1786</v>
      </c>
      <c r="J27" s="34">
        <v>1776</v>
      </c>
    </row>
    <row r="28" spans="1:13" x14ac:dyDescent="0.25">
      <c r="A28" s="34">
        <v>2</v>
      </c>
      <c r="B28" s="34">
        <v>1416</v>
      </c>
      <c r="C28" s="34">
        <v>2649</v>
      </c>
      <c r="D28" s="34">
        <v>37.4</v>
      </c>
      <c r="E28" s="34">
        <v>56.3</v>
      </c>
      <c r="F28" s="34">
        <v>-22</v>
      </c>
      <c r="G28" s="34">
        <v>684</v>
      </c>
      <c r="H28" s="34">
        <v>43.8</v>
      </c>
      <c r="I28" s="34">
        <v>2876</v>
      </c>
      <c r="J28" s="34">
        <v>2524</v>
      </c>
    </row>
    <row r="29" spans="1:13" x14ac:dyDescent="0.25">
      <c r="A29" s="34">
        <v>0</v>
      </c>
      <c r="B29" s="34">
        <v>1503</v>
      </c>
      <c r="C29" s="34">
        <v>1503</v>
      </c>
      <c r="D29" s="34">
        <v>39.299999999999997</v>
      </c>
      <c r="E29" s="34">
        <v>47</v>
      </c>
      <c r="F29" s="34">
        <v>-9</v>
      </c>
      <c r="G29" s="34">
        <v>875</v>
      </c>
      <c r="H29" s="34">
        <v>53.5</v>
      </c>
      <c r="I29" s="34">
        <v>2560</v>
      </c>
      <c r="J29" s="34">
        <v>2241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C7EA-ED75-4AAE-AD6E-9A4D87305A1E}">
  <dimension ref="A1:S110"/>
  <sheetViews>
    <sheetView zoomScale="80" zoomScaleNormal="80" workbookViewId="0">
      <selection activeCell="G19" sqref="G19"/>
    </sheetView>
  </sheetViews>
  <sheetFormatPr baseColWidth="10" defaultRowHeight="15" x14ac:dyDescent="0.25"/>
  <cols>
    <col min="15" max="15" width="13" bestFit="1" customWidth="1"/>
  </cols>
  <sheetData>
    <row r="1" spans="1:19" ht="15.75" thickBot="1" x14ac:dyDescent="0.3">
      <c r="A1" s="33" t="s">
        <v>24</v>
      </c>
      <c r="B1" s="33" t="s">
        <v>23</v>
      </c>
      <c r="C1" s="40" t="s">
        <v>118</v>
      </c>
      <c r="D1" s="40"/>
      <c r="E1" s="40"/>
      <c r="F1" s="40"/>
    </row>
    <row r="2" spans="1:19" x14ac:dyDescent="0.25">
      <c r="A2" s="41" t="s">
        <v>7</v>
      </c>
      <c r="B2" s="41" t="s">
        <v>22</v>
      </c>
      <c r="C2" s="41" t="s">
        <v>50</v>
      </c>
      <c r="D2" s="41" t="s">
        <v>51</v>
      </c>
      <c r="E2" s="41" t="s">
        <v>52</v>
      </c>
      <c r="F2" s="41" t="s">
        <v>53</v>
      </c>
      <c r="I2" s="7"/>
      <c r="J2" s="8"/>
      <c r="K2" s="8"/>
      <c r="L2" s="8"/>
      <c r="M2" s="8"/>
      <c r="N2" s="8"/>
      <c r="O2" s="8"/>
      <c r="P2" s="8"/>
      <c r="Q2" s="8"/>
      <c r="R2" s="9"/>
    </row>
    <row r="3" spans="1:19" x14ac:dyDescent="0.25">
      <c r="A3" s="34">
        <v>2205</v>
      </c>
      <c r="B3" s="34">
        <v>10</v>
      </c>
      <c r="C3" s="34">
        <f>LN(A3)</f>
        <v>7.6984827878809465</v>
      </c>
      <c r="D3" s="34">
        <f>LN(B3)</f>
        <v>2.3025850929940459</v>
      </c>
      <c r="E3" s="34">
        <f>1/A3</f>
        <v>4.5351473922902497E-4</v>
      </c>
      <c r="F3" s="34">
        <f>1/B3</f>
        <v>0.1</v>
      </c>
      <c r="I3" s="10"/>
      <c r="J3" s="11"/>
      <c r="K3" s="11"/>
      <c r="L3" s="11"/>
      <c r="M3" s="11"/>
      <c r="N3" s="11"/>
      <c r="O3" s="11"/>
      <c r="P3" s="11"/>
      <c r="Q3" s="11"/>
      <c r="R3" s="12" t="s">
        <v>110</v>
      </c>
    </row>
    <row r="4" spans="1:19" x14ac:dyDescent="0.25">
      <c r="A4" s="34">
        <v>2096</v>
      </c>
      <c r="B4" s="34">
        <v>11</v>
      </c>
      <c r="C4" s="34">
        <f t="shared" ref="C4:C30" si="0">LN(A4)</f>
        <v>7.6477860454409328</v>
      </c>
      <c r="D4" s="34">
        <f t="shared" ref="D4:D30" si="1">LN(B4)</f>
        <v>2.3978952727983707</v>
      </c>
      <c r="E4" s="34">
        <f t="shared" ref="E4:E30" si="2">1/A4</f>
        <v>4.7709923664122136E-4</v>
      </c>
      <c r="F4" s="34">
        <f t="shared" ref="F4:F30" si="3">1/B4</f>
        <v>9.0909090909090912E-2</v>
      </c>
      <c r="I4" s="10"/>
      <c r="J4" s="11"/>
      <c r="K4" s="11"/>
      <c r="L4" s="11"/>
      <c r="M4" s="11"/>
      <c r="N4" s="11"/>
      <c r="O4" s="11"/>
      <c r="P4" s="11"/>
      <c r="Q4" s="11"/>
      <c r="R4" s="12" t="s">
        <v>111</v>
      </c>
    </row>
    <row r="5" spans="1:19" x14ac:dyDescent="0.25">
      <c r="A5" s="34">
        <v>1847</v>
      </c>
      <c r="B5" s="34">
        <v>11</v>
      </c>
      <c r="C5" s="34">
        <f t="shared" si="0"/>
        <v>7.5213179801992398</v>
      </c>
      <c r="D5" s="34">
        <f t="shared" si="1"/>
        <v>2.3978952727983707</v>
      </c>
      <c r="E5" s="34">
        <f t="shared" si="2"/>
        <v>5.4141851651326478E-4</v>
      </c>
      <c r="F5" s="34">
        <f t="shared" si="3"/>
        <v>9.0909090909090912E-2</v>
      </c>
      <c r="I5" s="10" t="s">
        <v>25</v>
      </c>
      <c r="J5" s="11" t="s">
        <v>49</v>
      </c>
      <c r="K5" s="11"/>
      <c r="L5" s="11"/>
      <c r="M5" s="11"/>
      <c r="N5" s="11"/>
      <c r="O5" s="11"/>
      <c r="P5" s="11"/>
      <c r="Q5" s="11"/>
      <c r="R5" s="12">
        <f>J22*1801+J21</f>
        <v>9.1360452853254213</v>
      </c>
      <c r="S5" t="s">
        <v>112</v>
      </c>
    </row>
    <row r="6" spans="1:19" ht="15.75" thickBot="1" x14ac:dyDescent="0.3">
      <c r="A6" s="34">
        <v>1903</v>
      </c>
      <c r="B6" s="34">
        <v>13</v>
      </c>
      <c r="C6" s="34">
        <f t="shared" si="0"/>
        <v>7.5511868672961491</v>
      </c>
      <c r="D6" s="34">
        <f t="shared" si="1"/>
        <v>2.5649493574615367</v>
      </c>
      <c r="E6" s="34">
        <f t="shared" si="2"/>
        <v>5.2548607461902258E-4</v>
      </c>
      <c r="F6" s="34">
        <f t="shared" si="3"/>
        <v>7.6923076923076927E-2</v>
      </c>
      <c r="I6" s="10"/>
      <c r="J6" s="11"/>
      <c r="K6" s="11"/>
      <c r="L6" s="11"/>
      <c r="M6" s="11"/>
      <c r="N6" s="11"/>
      <c r="O6" s="11"/>
      <c r="P6" s="11"/>
      <c r="Q6" s="11"/>
      <c r="R6" s="12"/>
    </row>
    <row r="7" spans="1:19" x14ac:dyDescent="0.25">
      <c r="A7" s="34">
        <v>1457</v>
      </c>
      <c r="B7" s="34">
        <v>10</v>
      </c>
      <c r="C7" s="34">
        <f t="shared" si="0"/>
        <v>7.2841348061952047</v>
      </c>
      <c r="D7" s="34">
        <f t="shared" si="1"/>
        <v>2.3025850929940459</v>
      </c>
      <c r="E7" s="34">
        <f t="shared" si="2"/>
        <v>6.863417982155113E-4</v>
      </c>
      <c r="F7" s="34">
        <f t="shared" si="3"/>
        <v>0.1</v>
      </c>
      <c r="I7" s="13" t="s">
        <v>26</v>
      </c>
      <c r="J7" s="5"/>
      <c r="K7" s="11"/>
      <c r="L7" s="11"/>
      <c r="M7" s="11"/>
      <c r="N7" s="11"/>
      <c r="O7" s="11"/>
      <c r="P7" s="11"/>
      <c r="Q7" s="11"/>
      <c r="R7" s="12" t="s">
        <v>113</v>
      </c>
    </row>
    <row r="8" spans="1:19" x14ac:dyDescent="0.25">
      <c r="A8" s="34">
        <v>1848</v>
      </c>
      <c r="B8" s="34">
        <v>11</v>
      </c>
      <c r="C8" s="34">
        <f t="shared" si="0"/>
        <v>7.5218592522016294</v>
      </c>
      <c r="D8" s="34">
        <f t="shared" si="1"/>
        <v>2.3978952727983707</v>
      </c>
      <c r="E8" s="34">
        <f t="shared" si="2"/>
        <v>5.4112554112554113E-4</v>
      </c>
      <c r="F8" s="34">
        <f t="shared" si="3"/>
        <v>9.0909090909090912E-2</v>
      </c>
      <c r="I8" s="14" t="s">
        <v>27</v>
      </c>
      <c r="J8" s="6">
        <v>0.73802730389238347</v>
      </c>
      <c r="K8" s="11"/>
      <c r="L8" s="11"/>
      <c r="M8" s="11"/>
      <c r="N8" s="11"/>
      <c r="O8" s="11"/>
      <c r="P8" s="11"/>
      <c r="Q8" s="11"/>
      <c r="R8" s="12">
        <f>J22*3000+J21</f>
        <v>0.71295005439369419</v>
      </c>
    </row>
    <row r="9" spans="1:19" x14ac:dyDescent="0.25">
      <c r="A9" s="34">
        <v>1564</v>
      </c>
      <c r="B9" s="34">
        <v>10</v>
      </c>
      <c r="C9" s="34">
        <f t="shared" si="0"/>
        <v>7.3550019211052566</v>
      </c>
      <c r="D9" s="34">
        <f t="shared" si="1"/>
        <v>2.3025850929940459</v>
      </c>
      <c r="E9" s="34">
        <f t="shared" si="2"/>
        <v>6.3938618925831207E-4</v>
      </c>
      <c r="F9" s="34">
        <f t="shared" si="3"/>
        <v>0.1</v>
      </c>
      <c r="I9" s="14" t="s">
        <v>28</v>
      </c>
      <c r="J9" s="6">
        <v>0.54468430129066059</v>
      </c>
      <c r="K9" s="11"/>
      <c r="L9" s="11"/>
      <c r="M9" s="11"/>
      <c r="N9" s="11"/>
      <c r="O9" s="11"/>
      <c r="P9" s="11"/>
      <c r="Q9" s="11"/>
      <c r="R9" s="12"/>
    </row>
    <row r="10" spans="1:19" x14ac:dyDescent="0.25">
      <c r="A10" s="34">
        <v>1821</v>
      </c>
      <c r="B10" s="34">
        <v>11</v>
      </c>
      <c r="C10" s="34">
        <f t="shared" si="0"/>
        <v>7.5071410797276084</v>
      </c>
      <c r="D10" s="34">
        <f t="shared" si="1"/>
        <v>2.3978952727983707</v>
      </c>
      <c r="E10" s="34">
        <f t="shared" si="2"/>
        <v>5.4914881933003845E-4</v>
      </c>
      <c r="F10" s="34">
        <f t="shared" si="3"/>
        <v>9.0909090909090912E-2</v>
      </c>
      <c r="I10" s="15" t="s">
        <v>29</v>
      </c>
      <c r="J10" s="2">
        <v>0.52717215903260906</v>
      </c>
      <c r="K10" s="11"/>
      <c r="L10" s="11"/>
      <c r="M10" s="11"/>
      <c r="N10" s="11"/>
      <c r="O10" s="11"/>
      <c r="P10" s="11"/>
      <c r="Q10" s="11"/>
      <c r="R10" s="12"/>
    </row>
    <row r="11" spans="1:19" x14ac:dyDescent="0.25">
      <c r="A11" s="34">
        <v>2577</v>
      </c>
      <c r="B11" s="34">
        <v>4</v>
      </c>
      <c r="C11" s="34">
        <f t="shared" si="0"/>
        <v>7.8543812106523649</v>
      </c>
      <c r="D11" s="34">
        <f t="shared" si="1"/>
        <v>1.3862943611198906</v>
      </c>
      <c r="E11" s="34">
        <f t="shared" si="2"/>
        <v>3.8804811796662784E-4</v>
      </c>
      <c r="F11" s="34">
        <f t="shared" si="3"/>
        <v>0.25</v>
      </c>
      <c r="I11" s="15" t="s">
        <v>30</v>
      </c>
      <c r="J11" s="2">
        <v>2.3928738129560392</v>
      </c>
      <c r="K11" s="11"/>
      <c r="L11" s="11"/>
      <c r="M11" s="11"/>
      <c r="N11" s="11"/>
      <c r="O11" s="11"/>
      <c r="P11" s="11"/>
      <c r="Q11" s="11"/>
      <c r="R11" s="12"/>
    </row>
    <row r="12" spans="1:19" ht="15.75" thickBot="1" x14ac:dyDescent="0.3">
      <c r="A12" s="34">
        <v>2476</v>
      </c>
      <c r="B12" s="34">
        <v>2</v>
      </c>
      <c r="C12" s="34">
        <f t="shared" si="0"/>
        <v>7.814399633804487</v>
      </c>
      <c r="D12" s="34">
        <f t="shared" si="1"/>
        <v>0.69314718055994529</v>
      </c>
      <c r="E12" s="34">
        <f t="shared" si="2"/>
        <v>4.0387722132471731E-4</v>
      </c>
      <c r="F12" s="34">
        <f t="shared" si="3"/>
        <v>0.5</v>
      </c>
      <c r="I12" s="16" t="s">
        <v>31</v>
      </c>
      <c r="J12" s="3">
        <v>28</v>
      </c>
      <c r="K12" s="11"/>
      <c r="L12" s="11"/>
      <c r="M12" s="11"/>
      <c r="N12" s="11"/>
      <c r="O12" s="11"/>
      <c r="P12" s="11"/>
      <c r="Q12" s="11"/>
      <c r="R12" s="12"/>
    </row>
    <row r="13" spans="1:19" x14ac:dyDescent="0.25">
      <c r="A13" s="34">
        <v>1984</v>
      </c>
      <c r="B13" s="34">
        <v>7</v>
      </c>
      <c r="C13" s="34">
        <f t="shared" si="0"/>
        <v>7.5928702878448178</v>
      </c>
      <c r="D13" s="34">
        <f t="shared" si="1"/>
        <v>1.9459101490553132</v>
      </c>
      <c r="E13" s="34">
        <f t="shared" si="2"/>
        <v>5.0403225806451612E-4</v>
      </c>
      <c r="F13" s="34">
        <f t="shared" si="3"/>
        <v>0.14285714285714285</v>
      </c>
      <c r="I13" s="10"/>
      <c r="J13" s="11"/>
      <c r="K13" s="11"/>
      <c r="L13" s="11"/>
      <c r="M13" s="11"/>
      <c r="N13" s="11"/>
      <c r="O13" s="11"/>
      <c r="P13" s="11"/>
      <c r="Q13" s="11"/>
      <c r="R13" s="12"/>
    </row>
    <row r="14" spans="1:19" ht="15.75" thickBot="1" x14ac:dyDescent="0.3">
      <c r="A14" s="34">
        <v>1917</v>
      </c>
      <c r="B14" s="34">
        <v>10</v>
      </c>
      <c r="C14" s="34">
        <f t="shared" si="0"/>
        <v>7.5585167430456446</v>
      </c>
      <c r="D14" s="34">
        <f t="shared" si="1"/>
        <v>2.3025850929940459</v>
      </c>
      <c r="E14" s="34">
        <f t="shared" si="2"/>
        <v>5.2164840897235261E-4</v>
      </c>
      <c r="F14" s="34">
        <f t="shared" si="3"/>
        <v>0.1</v>
      </c>
      <c r="I14" s="10" t="s">
        <v>32</v>
      </c>
      <c r="J14" s="11"/>
      <c r="K14" s="11"/>
      <c r="L14" s="11"/>
      <c r="M14" s="11"/>
      <c r="N14" s="11"/>
      <c r="O14" s="11"/>
      <c r="P14" s="11"/>
      <c r="Q14" s="11"/>
      <c r="R14" s="12"/>
    </row>
    <row r="15" spans="1:19" x14ac:dyDescent="0.25">
      <c r="A15" s="34">
        <v>1761</v>
      </c>
      <c r="B15" s="34">
        <v>9</v>
      </c>
      <c r="C15" s="34">
        <f t="shared" si="0"/>
        <v>7.4736371084962059</v>
      </c>
      <c r="D15" s="34">
        <f t="shared" si="1"/>
        <v>2.1972245773362196</v>
      </c>
      <c r="E15" s="34">
        <f t="shared" si="2"/>
        <v>5.6785917092561046E-4</v>
      </c>
      <c r="F15" s="34">
        <f t="shared" si="3"/>
        <v>0.1111111111111111</v>
      </c>
      <c r="I15" s="17"/>
      <c r="J15" s="4" t="s">
        <v>37</v>
      </c>
      <c r="K15" s="4" t="s">
        <v>38</v>
      </c>
      <c r="L15" s="4" t="s">
        <v>39</v>
      </c>
      <c r="M15" s="4" t="s">
        <v>40</v>
      </c>
      <c r="N15" s="4" t="s">
        <v>41</v>
      </c>
      <c r="O15" s="11"/>
      <c r="P15" s="11"/>
      <c r="Q15" s="11"/>
      <c r="R15" s="12"/>
    </row>
    <row r="16" spans="1:19" x14ac:dyDescent="0.25">
      <c r="A16" s="34">
        <v>1709</v>
      </c>
      <c r="B16" s="34">
        <v>9</v>
      </c>
      <c r="C16" s="34">
        <f t="shared" si="0"/>
        <v>7.4436636831155907</v>
      </c>
      <c r="D16" s="34">
        <f t="shared" si="1"/>
        <v>2.1972245773362196</v>
      </c>
      <c r="E16" s="34">
        <f t="shared" si="2"/>
        <v>5.8513750731421885E-4</v>
      </c>
      <c r="F16" s="34">
        <f t="shared" si="3"/>
        <v>0.1111111111111111</v>
      </c>
      <c r="I16" s="15" t="s">
        <v>33</v>
      </c>
      <c r="J16" s="2">
        <v>1</v>
      </c>
      <c r="K16" s="2">
        <v>178.09231351128562</v>
      </c>
      <c r="L16" s="2">
        <v>178.09231351128562</v>
      </c>
      <c r="M16" s="2">
        <v>31.103236443858393</v>
      </c>
      <c r="N16" s="2">
        <v>7.3807088413144547E-6</v>
      </c>
      <c r="O16" s="18">
        <f>N16*2</f>
        <v>1.4761417682628909E-5</v>
      </c>
      <c r="P16" s="11" t="s">
        <v>54</v>
      </c>
      <c r="Q16" s="11"/>
      <c r="R16" s="12"/>
    </row>
    <row r="17" spans="1:18" x14ac:dyDescent="0.25">
      <c r="A17" s="34">
        <v>1901</v>
      </c>
      <c r="B17" s="34">
        <v>6</v>
      </c>
      <c r="C17" s="34">
        <f t="shared" si="0"/>
        <v>7.5501353424884288</v>
      </c>
      <c r="D17" s="34">
        <f t="shared" si="1"/>
        <v>1.791759469228055</v>
      </c>
      <c r="E17" s="34">
        <f t="shared" si="2"/>
        <v>5.2603892688058915E-4</v>
      </c>
      <c r="F17" s="34">
        <f t="shared" si="3"/>
        <v>0.16666666666666666</v>
      </c>
      <c r="I17" s="15" t="s">
        <v>34</v>
      </c>
      <c r="J17" s="2">
        <v>26</v>
      </c>
      <c r="K17" s="2">
        <v>148.8719722030001</v>
      </c>
      <c r="L17" s="2">
        <v>5.7258450847307731</v>
      </c>
      <c r="M17" s="2"/>
      <c r="N17" s="2"/>
      <c r="O17" s="11"/>
      <c r="P17" s="11"/>
      <c r="Q17" s="11"/>
      <c r="R17" s="12"/>
    </row>
    <row r="18" spans="1:18" ht="15.75" thickBot="1" x14ac:dyDescent="0.3">
      <c r="A18" s="34">
        <v>2288</v>
      </c>
      <c r="B18" s="34">
        <v>5</v>
      </c>
      <c r="C18" s="34">
        <f t="shared" si="0"/>
        <v>7.7354333524996886</v>
      </c>
      <c r="D18" s="34">
        <f t="shared" si="1"/>
        <v>1.6094379124341003</v>
      </c>
      <c r="E18" s="34">
        <f t="shared" si="2"/>
        <v>4.3706293706293706E-4</v>
      </c>
      <c r="F18" s="34">
        <f t="shared" si="3"/>
        <v>0.2</v>
      </c>
      <c r="I18" s="16" t="s">
        <v>35</v>
      </c>
      <c r="J18" s="3">
        <v>27</v>
      </c>
      <c r="K18" s="3">
        <v>326.96428571428572</v>
      </c>
      <c r="L18" s="3"/>
      <c r="M18" s="3"/>
      <c r="N18" s="3"/>
      <c r="O18" s="11"/>
      <c r="P18" s="11"/>
      <c r="Q18" s="11"/>
      <c r="R18" s="12"/>
    </row>
    <row r="19" spans="1:18" ht="15.75" thickBot="1" x14ac:dyDescent="0.3">
      <c r="A19" s="34">
        <v>2072</v>
      </c>
      <c r="B19" s="34">
        <v>5</v>
      </c>
      <c r="C19" s="34">
        <f t="shared" si="0"/>
        <v>7.6362696033793735</v>
      </c>
      <c r="D19" s="34">
        <f t="shared" si="1"/>
        <v>1.6094379124341003</v>
      </c>
      <c r="E19" s="34">
        <f t="shared" si="2"/>
        <v>4.8262548262548264E-4</v>
      </c>
      <c r="F19" s="34">
        <f t="shared" si="3"/>
        <v>0.2</v>
      </c>
      <c r="I19" s="10"/>
      <c r="J19" s="11"/>
      <c r="K19" s="11"/>
      <c r="L19" s="11"/>
      <c r="M19" s="11"/>
      <c r="N19" s="11"/>
      <c r="O19" s="11"/>
      <c r="P19" s="11"/>
      <c r="Q19" s="11"/>
      <c r="R19" s="12"/>
    </row>
    <row r="20" spans="1:18" x14ac:dyDescent="0.25">
      <c r="A20" s="34">
        <v>2861</v>
      </c>
      <c r="B20" s="34">
        <v>5</v>
      </c>
      <c r="C20" s="34">
        <f t="shared" si="0"/>
        <v>7.95892649305011</v>
      </c>
      <c r="D20" s="34">
        <f t="shared" si="1"/>
        <v>1.6094379124341003</v>
      </c>
      <c r="E20" s="34">
        <f t="shared" si="2"/>
        <v>3.4952813701502968E-4</v>
      </c>
      <c r="F20" s="34">
        <f t="shared" si="3"/>
        <v>0.2</v>
      </c>
      <c r="I20" s="17"/>
      <c r="J20" s="4" t="s">
        <v>42</v>
      </c>
      <c r="K20" s="4" t="s">
        <v>30</v>
      </c>
      <c r="L20" s="4" t="s">
        <v>43</v>
      </c>
      <c r="M20" s="4" t="s">
        <v>44</v>
      </c>
      <c r="N20" s="4" t="s">
        <v>45</v>
      </c>
      <c r="O20" s="4" t="s">
        <v>46</v>
      </c>
      <c r="P20" s="4" t="s">
        <v>47</v>
      </c>
      <c r="Q20" s="4" t="s">
        <v>48</v>
      </c>
      <c r="R20" s="12"/>
    </row>
    <row r="21" spans="1:18" x14ac:dyDescent="0.25">
      <c r="A21" s="34">
        <v>2411</v>
      </c>
      <c r="B21" s="34">
        <v>6</v>
      </c>
      <c r="C21" s="34">
        <f t="shared" si="0"/>
        <v>7.7877968781811706</v>
      </c>
      <c r="D21" s="34">
        <f t="shared" si="1"/>
        <v>1.791759469228055</v>
      </c>
      <c r="E21" s="34">
        <f t="shared" si="2"/>
        <v>4.1476565740356696E-4</v>
      </c>
      <c r="F21" s="34">
        <f t="shared" si="3"/>
        <v>0.16666666666666666</v>
      </c>
      <c r="I21" s="15" t="s">
        <v>36</v>
      </c>
      <c r="J21" s="2">
        <v>21.788250882413024</v>
      </c>
      <c r="K21" s="2">
        <v>2.6962332614401365</v>
      </c>
      <c r="L21" s="2">
        <v>8.0809962528150425</v>
      </c>
      <c r="M21" s="2">
        <v>1.4636894326759338E-8</v>
      </c>
      <c r="N21" s="2">
        <v>16.246064040074739</v>
      </c>
      <c r="O21" s="2">
        <v>27.33043772475131</v>
      </c>
      <c r="P21" s="2">
        <v>16.246064040074739</v>
      </c>
      <c r="Q21" s="2">
        <v>27.33043772475131</v>
      </c>
      <c r="R21" s="12"/>
    </row>
    <row r="22" spans="1:18" ht="15.75" thickBot="1" x14ac:dyDescent="0.3">
      <c r="A22" s="34">
        <v>2289</v>
      </c>
      <c r="B22" s="34">
        <v>4</v>
      </c>
      <c r="C22" s="34">
        <f t="shared" si="0"/>
        <v>7.7358703199525669</v>
      </c>
      <c r="D22" s="34">
        <f t="shared" si="1"/>
        <v>1.3862943611198906</v>
      </c>
      <c r="E22" s="34">
        <f t="shared" si="2"/>
        <v>4.3687199650502403E-4</v>
      </c>
      <c r="F22" s="34">
        <f t="shared" si="3"/>
        <v>0.25</v>
      </c>
      <c r="I22" s="16" t="s">
        <v>7</v>
      </c>
      <c r="J22" s="3">
        <v>-7.0251002760064428E-3</v>
      </c>
      <c r="K22" s="3">
        <v>1.2596495527481377E-3</v>
      </c>
      <c r="L22" s="3">
        <v>-5.5770275634838304</v>
      </c>
      <c r="M22" s="3">
        <v>7.3807088413144547E-6</v>
      </c>
      <c r="N22" s="3">
        <v>-9.6143470140535679E-3</v>
      </c>
      <c r="O22" s="3">
        <v>-4.4358535379593177E-3</v>
      </c>
      <c r="P22" s="3">
        <v>-9.6143470140535679E-3</v>
      </c>
      <c r="Q22" s="3">
        <v>-4.4358535379593177E-3</v>
      </c>
      <c r="R22" s="12"/>
    </row>
    <row r="23" spans="1:18" x14ac:dyDescent="0.25">
      <c r="A23" s="34">
        <v>2203</v>
      </c>
      <c r="B23" s="34">
        <v>3</v>
      </c>
      <c r="C23" s="34">
        <f t="shared" si="0"/>
        <v>7.6975753468023429</v>
      </c>
      <c r="D23" s="34">
        <f t="shared" si="1"/>
        <v>1.0986122886681098</v>
      </c>
      <c r="E23" s="34">
        <f t="shared" si="2"/>
        <v>4.5392646391284613E-4</v>
      </c>
      <c r="F23" s="34">
        <f t="shared" si="3"/>
        <v>0.33333333333333331</v>
      </c>
      <c r="I23" s="10"/>
      <c r="J23" s="11"/>
      <c r="K23" s="11"/>
      <c r="L23" s="11"/>
      <c r="M23" s="11"/>
      <c r="N23" s="11"/>
      <c r="O23" s="11"/>
      <c r="P23" s="11"/>
      <c r="Q23" s="11"/>
      <c r="R23" s="12"/>
    </row>
    <row r="24" spans="1:18" x14ac:dyDescent="0.25">
      <c r="A24" s="34">
        <v>2592</v>
      </c>
      <c r="B24" s="34">
        <v>3</v>
      </c>
      <c r="C24" s="34">
        <f t="shared" si="0"/>
        <v>7.8601850574721652</v>
      </c>
      <c r="D24" s="34">
        <f t="shared" si="1"/>
        <v>1.0986122886681098</v>
      </c>
      <c r="E24" s="34">
        <f t="shared" si="2"/>
        <v>3.8580246913580245E-4</v>
      </c>
      <c r="F24" s="34">
        <f t="shared" si="3"/>
        <v>0.33333333333333331</v>
      </c>
      <c r="I24" s="10"/>
      <c r="J24" s="11"/>
      <c r="K24" s="11"/>
      <c r="L24" s="11"/>
      <c r="M24" s="11"/>
      <c r="N24" s="11"/>
      <c r="O24" s="11"/>
      <c r="P24" s="11"/>
      <c r="Q24" s="11"/>
      <c r="R24" s="12"/>
    </row>
    <row r="25" spans="1:18" x14ac:dyDescent="0.25">
      <c r="A25" s="34">
        <v>2053</v>
      </c>
      <c r="B25" s="34">
        <v>4</v>
      </c>
      <c r="C25" s="34">
        <f t="shared" si="0"/>
        <v>7.6270574170189338</v>
      </c>
      <c r="D25" s="34">
        <f t="shared" si="1"/>
        <v>1.3862943611198906</v>
      </c>
      <c r="E25" s="34">
        <f t="shared" si="2"/>
        <v>4.8709206039941551E-4</v>
      </c>
      <c r="F25" s="34">
        <f t="shared" si="3"/>
        <v>0.25</v>
      </c>
      <c r="I25" s="10"/>
      <c r="J25" s="11"/>
      <c r="K25" s="11"/>
      <c r="L25" s="11"/>
      <c r="M25" s="11"/>
      <c r="N25" s="11"/>
      <c r="O25" s="11"/>
      <c r="P25" s="11"/>
      <c r="Q25" s="11"/>
      <c r="R25" s="12"/>
    </row>
    <row r="26" spans="1:18" ht="15.75" thickBot="1" x14ac:dyDescent="0.3">
      <c r="A26" s="34">
        <v>1979</v>
      </c>
      <c r="B26" s="34">
        <v>10</v>
      </c>
      <c r="C26" s="34">
        <f t="shared" si="0"/>
        <v>7.5903469456025654</v>
      </c>
      <c r="D26" s="34">
        <f t="shared" si="1"/>
        <v>2.3025850929940459</v>
      </c>
      <c r="E26" s="34">
        <f t="shared" si="2"/>
        <v>5.0530570995452253E-4</v>
      </c>
      <c r="F26" s="34">
        <f t="shared" si="3"/>
        <v>0.1</v>
      </c>
      <c r="I26" s="19"/>
      <c r="J26" s="20"/>
      <c r="K26" s="20"/>
      <c r="L26" s="20"/>
      <c r="M26" s="20"/>
      <c r="N26" s="20"/>
      <c r="O26" s="20"/>
      <c r="P26" s="20"/>
      <c r="Q26" s="20"/>
      <c r="R26" s="21"/>
    </row>
    <row r="27" spans="1:18" x14ac:dyDescent="0.25">
      <c r="A27" s="34">
        <v>2048</v>
      </c>
      <c r="B27" s="34">
        <v>6</v>
      </c>
      <c r="C27" s="34">
        <f t="shared" si="0"/>
        <v>7.6246189861593985</v>
      </c>
      <c r="D27" s="34">
        <f t="shared" si="1"/>
        <v>1.791759469228055</v>
      </c>
      <c r="E27" s="34">
        <f t="shared" si="2"/>
        <v>4.8828125E-4</v>
      </c>
      <c r="F27" s="34">
        <f t="shared" si="3"/>
        <v>0.16666666666666666</v>
      </c>
      <c r="I27" t="s">
        <v>25</v>
      </c>
      <c r="J27" t="s">
        <v>55</v>
      </c>
    </row>
    <row r="28" spans="1:18" ht="15.75" thickBot="1" x14ac:dyDescent="0.3">
      <c r="A28" s="34">
        <v>1786</v>
      </c>
      <c r="B28" s="34">
        <v>8</v>
      </c>
      <c r="C28" s="34">
        <f t="shared" si="0"/>
        <v>7.4877337614364441</v>
      </c>
      <c r="D28" s="34">
        <f t="shared" si="1"/>
        <v>2.0794415416798357</v>
      </c>
      <c r="E28" s="34">
        <f t="shared" si="2"/>
        <v>5.5991041433370661E-4</v>
      </c>
      <c r="F28" s="34">
        <f t="shared" si="3"/>
        <v>0.125</v>
      </c>
    </row>
    <row r="29" spans="1:18" x14ac:dyDescent="0.25">
      <c r="A29" s="34">
        <v>2876</v>
      </c>
      <c r="B29" s="34">
        <v>2</v>
      </c>
      <c r="C29" s="34">
        <f t="shared" si="0"/>
        <v>7.9641557188409369</v>
      </c>
      <c r="D29" s="34">
        <f t="shared" si="1"/>
        <v>0.69314718055994529</v>
      </c>
      <c r="E29" s="34">
        <f t="shared" si="2"/>
        <v>3.4770514603616132E-4</v>
      </c>
      <c r="F29" s="34">
        <f t="shared" si="3"/>
        <v>0.5</v>
      </c>
      <c r="I29" s="5" t="s">
        <v>26</v>
      </c>
      <c r="J29" s="5"/>
    </row>
    <row r="30" spans="1:18" x14ac:dyDescent="0.25">
      <c r="A30" s="34">
        <v>2560</v>
      </c>
      <c r="B30" s="34">
        <v>1E-8</v>
      </c>
      <c r="C30" s="34">
        <f t="shared" si="0"/>
        <v>7.8477625374736082</v>
      </c>
      <c r="D30" s="34">
        <f>1/0.00000001</f>
        <v>100000000</v>
      </c>
      <c r="E30" s="34">
        <f t="shared" si="2"/>
        <v>3.9062500000000002E-4</v>
      </c>
      <c r="F30" s="34">
        <f>1/1E-24</f>
        <v>1.0000000000000001E+24</v>
      </c>
      <c r="I30" s="2" t="s">
        <v>27</v>
      </c>
      <c r="J30" s="6">
        <v>0.33901064828469929</v>
      </c>
    </row>
    <row r="31" spans="1:18" x14ac:dyDescent="0.25">
      <c r="I31" s="2" t="s">
        <v>28</v>
      </c>
      <c r="J31" s="6">
        <v>0.1149282196504121</v>
      </c>
    </row>
    <row r="32" spans="1:18" x14ac:dyDescent="0.25">
      <c r="I32" s="2" t="s">
        <v>29</v>
      </c>
      <c r="J32" s="2">
        <v>8.0886997329274096E-2</v>
      </c>
    </row>
    <row r="33" spans="9:17" x14ac:dyDescent="0.25">
      <c r="I33" s="2" t="s">
        <v>30</v>
      </c>
      <c r="J33" s="2">
        <v>3.7085596103124572</v>
      </c>
    </row>
    <row r="34" spans="9:17" ht="15.75" thickBot="1" x14ac:dyDescent="0.3">
      <c r="I34" s="3" t="s">
        <v>31</v>
      </c>
      <c r="J34" s="3">
        <v>28</v>
      </c>
    </row>
    <row r="36" spans="9:17" ht="15.75" thickBot="1" x14ac:dyDescent="0.3">
      <c r="I36" t="s">
        <v>32</v>
      </c>
    </row>
    <row r="37" spans="9:17" x14ac:dyDescent="0.25">
      <c r="I37" s="4"/>
      <c r="J37" s="4" t="s">
        <v>37</v>
      </c>
      <c r="K37" s="4" t="s">
        <v>38</v>
      </c>
      <c r="L37" s="4" t="s">
        <v>39</v>
      </c>
      <c r="M37" s="4" t="s">
        <v>40</v>
      </c>
      <c r="N37" s="4" t="s">
        <v>41</v>
      </c>
    </row>
    <row r="38" spans="9:17" x14ac:dyDescent="0.25">
      <c r="I38" s="2" t="s">
        <v>33</v>
      </c>
      <c r="J38" s="2">
        <v>1</v>
      </c>
      <c r="K38" s="2">
        <v>46.433568520796996</v>
      </c>
      <c r="L38" s="2">
        <v>46.433568520796996</v>
      </c>
      <c r="M38" s="2">
        <v>3.3761484404467783</v>
      </c>
      <c r="N38" s="2">
        <v>7.7601872231526675E-2</v>
      </c>
      <c r="O38">
        <f>N38*2</f>
        <v>0.15520374446305335</v>
      </c>
    </row>
    <row r="39" spans="9:17" x14ac:dyDescent="0.25">
      <c r="I39" s="2" t="s">
        <v>34</v>
      </c>
      <c r="J39" s="2">
        <v>26</v>
      </c>
      <c r="K39" s="2">
        <v>357.588773964263</v>
      </c>
      <c r="L39" s="2">
        <v>13.753414383240884</v>
      </c>
      <c r="M39" s="2"/>
      <c r="N39" s="2"/>
    </row>
    <row r="40" spans="9:17" ht="15.75" thickBot="1" x14ac:dyDescent="0.3">
      <c r="I40" s="3" t="s">
        <v>35</v>
      </c>
      <c r="J40" s="3">
        <v>27</v>
      </c>
      <c r="K40" s="3">
        <v>404.02234248505999</v>
      </c>
      <c r="L40" s="3"/>
      <c r="M40" s="3"/>
      <c r="N40" s="3"/>
    </row>
    <row r="41" spans="9:17" ht="15.75" thickBot="1" x14ac:dyDescent="0.3"/>
    <row r="42" spans="9:17" x14ac:dyDescent="0.25">
      <c r="I42" s="4"/>
      <c r="J42" s="4" t="s">
        <v>42</v>
      </c>
      <c r="K42" s="4" t="s">
        <v>30</v>
      </c>
      <c r="L42" s="4" t="s">
        <v>43</v>
      </c>
      <c r="M42" s="4" t="s">
        <v>44</v>
      </c>
      <c r="N42" s="4" t="s">
        <v>45</v>
      </c>
      <c r="O42" s="4" t="s">
        <v>46</v>
      </c>
      <c r="P42" s="4" t="s">
        <v>47</v>
      </c>
      <c r="Q42" s="4" t="s">
        <v>48</v>
      </c>
    </row>
    <row r="43" spans="9:17" x14ac:dyDescent="0.25">
      <c r="I43" s="2" t="s">
        <v>36</v>
      </c>
      <c r="J43" s="2">
        <v>8.6984285747475258</v>
      </c>
      <c r="K43" s="2">
        <v>4.178716704248381</v>
      </c>
      <c r="L43" s="2">
        <v>2.0816028437400611</v>
      </c>
      <c r="M43" s="2">
        <v>4.7365288334546909E-2</v>
      </c>
      <c r="N43" s="2">
        <v>0.108953373416254</v>
      </c>
      <c r="O43" s="2">
        <v>17.287903776078799</v>
      </c>
      <c r="P43" s="2">
        <v>0.108953373416254</v>
      </c>
      <c r="Q43" s="2">
        <v>17.287903776078799</v>
      </c>
    </row>
    <row r="44" spans="9:17" ht="15.75" thickBot="1" x14ac:dyDescent="0.3">
      <c r="I44" s="3" t="s">
        <v>7</v>
      </c>
      <c r="J44" s="3">
        <v>-3.5871205387422648E-3</v>
      </c>
      <c r="K44" s="3">
        <v>1.9522489774331101E-3</v>
      </c>
      <c r="L44" s="3">
        <v>-1.8374298464014283</v>
      </c>
      <c r="M44" s="3">
        <v>7.7601872231527091E-2</v>
      </c>
      <c r="N44" s="3">
        <v>-7.6000257834164687E-3</v>
      </c>
      <c r="O44" s="3">
        <v>4.2578470593193857E-4</v>
      </c>
      <c r="P44" s="3">
        <v>-7.6000257834164687E-3</v>
      </c>
      <c r="Q44" s="3">
        <v>4.2578470593193857E-4</v>
      </c>
    </row>
    <row r="49" spans="9:17" x14ac:dyDescent="0.25">
      <c r="I49" t="s">
        <v>25</v>
      </c>
      <c r="J49" t="s">
        <v>56</v>
      </c>
    </row>
    <row r="50" spans="9:17" ht="15.75" thickBot="1" x14ac:dyDescent="0.3"/>
    <row r="51" spans="9:17" x14ac:dyDescent="0.25">
      <c r="I51" s="5" t="s">
        <v>26</v>
      </c>
      <c r="J51" s="5"/>
    </row>
    <row r="52" spans="9:17" x14ac:dyDescent="0.25">
      <c r="I52" s="2" t="s">
        <v>27</v>
      </c>
      <c r="J52" s="6">
        <v>0.51177484206225377</v>
      </c>
    </row>
    <row r="53" spans="9:17" x14ac:dyDescent="0.25">
      <c r="I53" s="2" t="s">
        <v>28</v>
      </c>
      <c r="J53" s="6">
        <v>0.26191348896784478</v>
      </c>
    </row>
    <row r="54" spans="9:17" x14ac:dyDescent="0.25">
      <c r="I54" s="2" t="s">
        <v>29</v>
      </c>
      <c r="J54" s="2">
        <v>0.23352554623583882</v>
      </c>
    </row>
    <row r="55" spans="9:17" x14ac:dyDescent="0.25">
      <c r="I55" s="2" t="s">
        <v>30</v>
      </c>
      <c r="J55" s="2">
        <v>3.0466117925187559</v>
      </c>
    </row>
    <row r="56" spans="9:17" ht="15.75" thickBot="1" x14ac:dyDescent="0.3">
      <c r="I56" s="3" t="s">
        <v>31</v>
      </c>
      <c r="J56" s="3">
        <v>28</v>
      </c>
    </row>
    <row r="58" spans="9:17" ht="15.75" thickBot="1" x14ac:dyDescent="0.3">
      <c r="I58" t="s">
        <v>32</v>
      </c>
    </row>
    <row r="59" spans="9:17" x14ac:dyDescent="0.25">
      <c r="I59" s="4"/>
      <c r="J59" s="4" t="s">
        <v>37</v>
      </c>
      <c r="K59" s="4" t="s">
        <v>38</v>
      </c>
      <c r="L59" s="4" t="s">
        <v>39</v>
      </c>
      <c r="M59" s="4" t="s">
        <v>40</v>
      </c>
      <c r="N59" s="4" t="s">
        <v>41</v>
      </c>
    </row>
    <row r="60" spans="9:17" x14ac:dyDescent="0.25">
      <c r="I60" s="2" t="s">
        <v>33</v>
      </c>
      <c r="J60" s="2">
        <v>1</v>
      </c>
      <c r="K60" s="2">
        <v>85.636356802827009</v>
      </c>
      <c r="L60" s="2">
        <v>85.636356802827009</v>
      </c>
      <c r="M60" s="2">
        <v>9.2262229581205446</v>
      </c>
      <c r="N60" s="2">
        <v>5.3726663635178182E-3</v>
      </c>
      <c r="O60">
        <f>N60*2</f>
        <v>1.0745332727035636E-2</v>
      </c>
    </row>
    <row r="61" spans="9:17" x14ac:dyDescent="0.25">
      <c r="I61" s="2" t="s">
        <v>34</v>
      </c>
      <c r="J61" s="2">
        <v>26</v>
      </c>
      <c r="K61" s="2">
        <v>241.32792877217301</v>
      </c>
      <c r="L61" s="2">
        <v>9.2818434143143467</v>
      </c>
      <c r="M61" s="2"/>
      <c r="N61" s="2"/>
    </row>
    <row r="62" spans="9:17" ht="15.75" thickBot="1" x14ac:dyDescent="0.3">
      <c r="I62" s="3" t="s">
        <v>35</v>
      </c>
      <c r="J62" s="3">
        <v>27</v>
      </c>
      <c r="K62" s="3">
        <v>326.96428557500002</v>
      </c>
      <c r="L62" s="3"/>
      <c r="M62" s="3"/>
      <c r="N62" s="3"/>
    </row>
    <row r="63" spans="9:17" ht="15.75" thickBot="1" x14ac:dyDescent="0.3"/>
    <row r="64" spans="9:17" x14ac:dyDescent="0.25">
      <c r="I64" s="4"/>
      <c r="J64" s="4" t="s">
        <v>42</v>
      </c>
      <c r="K64" s="4" t="s">
        <v>30</v>
      </c>
      <c r="L64" s="4" t="s">
        <v>43</v>
      </c>
      <c r="M64" s="4" t="s">
        <v>44</v>
      </c>
      <c r="N64" s="4" t="s">
        <v>45</v>
      </c>
      <c r="O64" s="4" t="s">
        <v>46</v>
      </c>
      <c r="P64" s="4" t="s">
        <v>47</v>
      </c>
      <c r="Q64" s="4" t="s">
        <v>48</v>
      </c>
    </row>
    <row r="65" spans="9:17" x14ac:dyDescent="0.25">
      <c r="I65" s="2" t="s">
        <v>36</v>
      </c>
      <c r="J65" s="2">
        <v>6.4444625238639555</v>
      </c>
      <c r="K65" s="2">
        <v>0.60065152002393629</v>
      </c>
      <c r="L65" s="2">
        <v>10.729120478388435</v>
      </c>
      <c r="M65" s="2">
        <v>4.8006520617213498E-11</v>
      </c>
      <c r="N65" s="2">
        <v>5.2098056420891652</v>
      </c>
      <c r="O65" s="2">
        <v>7.6791194056387457</v>
      </c>
      <c r="P65" s="2">
        <v>5.2098056420891652</v>
      </c>
      <c r="Q65" s="2">
        <v>7.6791194056387457</v>
      </c>
    </row>
    <row r="66" spans="9:17" ht="15.75" thickBot="1" x14ac:dyDescent="0.3">
      <c r="I66" s="3" t="s">
        <v>51</v>
      </c>
      <c r="J66" s="3">
        <v>0.46039054961279441</v>
      </c>
      <c r="K66" s="3">
        <v>0.15157041077944985</v>
      </c>
      <c r="L66" s="3">
        <v>3.0374698283473602</v>
      </c>
      <c r="M66" s="3">
        <v>5.3726663635178173E-3</v>
      </c>
      <c r="N66" s="3">
        <v>0.14883310822844215</v>
      </c>
      <c r="O66" s="3">
        <v>0.77194799099714673</v>
      </c>
      <c r="P66" s="3">
        <v>0.14883310822844215</v>
      </c>
      <c r="Q66" s="3">
        <v>0.77194799099714673</v>
      </c>
    </row>
    <row r="71" spans="9:17" x14ac:dyDescent="0.25">
      <c r="I71" t="s">
        <v>25</v>
      </c>
      <c r="J71" t="s">
        <v>57</v>
      </c>
    </row>
    <row r="72" spans="9:17" ht="15.75" thickBot="1" x14ac:dyDescent="0.3"/>
    <row r="73" spans="9:17" x14ac:dyDescent="0.25">
      <c r="I73" s="5" t="s">
        <v>26</v>
      </c>
      <c r="J73" s="5"/>
    </row>
    <row r="74" spans="9:17" x14ac:dyDescent="0.25">
      <c r="I74" s="2" t="s">
        <v>27</v>
      </c>
      <c r="J74" s="6">
        <v>0.33422297599652617</v>
      </c>
    </row>
    <row r="75" spans="9:17" x14ac:dyDescent="0.25">
      <c r="I75" s="2" t="s">
        <v>28</v>
      </c>
      <c r="J75" s="6">
        <v>0.1117049976839745</v>
      </c>
    </row>
    <row r="76" spans="9:17" x14ac:dyDescent="0.25">
      <c r="I76" s="2" t="s">
        <v>29</v>
      </c>
      <c r="J76" s="2">
        <v>7.7539805287204291E-2</v>
      </c>
    </row>
    <row r="77" spans="9:17" x14ac:dyDescent="0.25">
      <c r="I77" s="2" t="s">
        <v>30</v>
      </c>
      <c r="J77" s="2">
        <v>3.715306321637001</v>
      </c>
    </row>
    <row r="78" spans="9:17" ht="15.75" thickBot="1" x14ac:dyDescent="0.3">
      <c r="I78" s="3" t="s">
        <v>31</v>
      </c>
      <c r="J78" s="3">
        <v>28</v>
      </c>
    </row>
    <row r="80" spans="9:17" ht="15.75" thickBot="1" x14ac:dyDescent="0.3">
      <c r="I80" t="s">
        <v>32</v>
      </c>
    </row>
    <row r="81" spans="9:17" x14ac:dyDescent="0.25">
      <c r="I81" s="4"/>
      <c r="J81" s="4" t="s">
        <v>37</v>
      </c>
      <c r="K81" s="4" t="s">
        <v>38</v>
      </c>
      <c r="L81" s="4" t="s">
        <v>39</v>
      </c>
      <c r="M81" s="4" t="s">
        <v>40</v>
      </c>
      <c r="N81" s="4" t="s">
        <v>41</v>
      </c>
    </row>
    <row r="82" spans="9:17" x14ac:dyDescent="0.25">
      <c r="I82" s="2" t="s">
        <v>33</v>
      </c>
      <c r="J82" s="2">
        <v>1</v>
      </c>
      <c r="K82" s="2">
        <v>45.131314831567579</v>
      </c>
      <c r="L82" s="2">
        <v>45.131314831567579</v>
      </c>
      <c r="M82" s="2">
        <v>3.2695556456030519</v>
      </c>
      <c r="N82" s="2">
        <v>8.2158600918836019E-2</v>
      </c>
      <c r="O82" s="1">
        <f>N82*2</f>
        <v>0.16431720183767204</v>
      </c>
    </row>
    <row r="83" spans="9:17" x14ac:dyDescent="0.25">
      <c r="I83" s="2" t="s">
        <v>34</v>
      </c>
      <c r="J83" s="2">
        <v>26</v>
      </c>
      <c r="K83" s="2">
        <v>358.89102765349242</v>
      </c>
      <c r="L83" s="2">
        <v>13.803501063595862</v>
      </c>
      <c r="M83" s="2"/>
      <c r="N83" s="2"/>
    </row>
    <row r="84" spans="9:17" ht="15.75" thickBot="1" x14ac:dyDescent="0.3">
      <c r="I84" s="3" t="s">
        <v>35</v>
      </c>
      <c r="J84" s="3">
        <v>27</v>
      </c>
      <c r="K84" s="3">
        <v>404.02234248505999</v>
      </c>
      <c r="L84" s="3"/>
      <c r="M84" s="3"/>
      <c r="N84" s="3"/>
    </row>
    <row r="85" spans="9:17" ht="15.75" thickBot="1" x14ac:dyDescent="0.3"/>
    <row r="86" spans="9:17" x14ac:dyDescent="0.25">
      <c r="I86" s="4"/>
      <c r="J86" s="4" t="s">
        <v>42</v>
      </c>
      <c r="K86" s="4" t="s">
        <v>30</v>
      </c>
      <c r="L86" s="4" t="s">
        <v>43</v>
      </c>
      <c r="M86" s="4" t="s">
        <v>44</v>
      </c>
      <c r="N86" s="4" t="s">
        <v>45</v>
      </c>
      <c r="O86" s="4" t="s">
        <v>46</v>
      </c>
      <c r="P86" s="4" t="s">
        <v>47</v>
      </c>
      <c r="Q86" s="4" t="s">
        <v>48</v>
      </c>
    </row>
    <row r="87" spans="9:17" x14ac:dyDescent="0.25">
      <c r="I87" s="2" t="s">
        <v>36</v>
      </c>
      <c r="J87" s="2">
        <v>58.788533256193126</v>
      </c>
      <c r="K87" s="2">
        <v>31.895639643719125</v>
      </c>
      <c r="L87" s="2">
        <v>1.8431526664106181</v>
      </c>
      <c r="M87" s="2">
        <v>7.6735935258484669E-2</v>
      </c>
      <c r="N87" s="2">
        <v>-6.7738929958162188</v>
      </c>
      <c r="O87" s="2">
        <v>124.35095950820246</v>
      </c>
      <c r="P87" s="2">
        <v>-6.7738929958162188</v>
      </c>
      <c r="Q87" s="2">
        <v>124.35095950820246</v>
      </c>
    </row>
    <row r="88" spans="9:17" ht="15.75" thickBot="1" x14ac:dyDescent="0.3">
      <c r="I88" s="3" t="s">
        <v>50</v>
      </c>
      <c r="J88" s="3">
        <v>-7.5467563651305518</v>
      </c>
      <c r="K88" s="3">
        <v>4.1736493905439067</v>
      </c>
      <c r="L88" s="3">
        <v>-1.8081912635567754</v>
      </c>
      <c r="M88" s="3">
        <v>8.2158600918835922E-2</v>
      </c>
      <c r="N88" s="3">
        <v>-16.125815553967438</v>
      </c>
      <c r="O88" s="3">
        <v>1.0323028237063347</v>
      </c>
      <c r="P88" s="3">
        <v>-16.125815553967438</v>
      </c>
      <c r="Q88" s="3">
        <v>1.0323028237063347</v>
      </c>
    </row>
    <row r="93" spans="9:17" x14ac:dyDescent="0.25">
      <c r="I93" t="s">
        <v>25</v>
      </c>
      <c r="J93" t="s">
        <v>58</v>
      </c>
    </row>
    <row r="94" spans="9:17" ht="15.75" thickBot="1" x14ac:dyDescent="0.3"/>
    <row r="95" spans="9:17" x14ac:dyDescent="0.25">
      <c r="I95" s="5" t="s">
        <v>26</v>
      </c>
      <c r="J95" s="5"/>
    </row>
    <row r="96" spans="9:17" x14ac:dyDescent="0.25">
      <c r="I96" s="2" t="s">
        <v>27</v>
      </c>
      <c r="J96" s="6">
        <v>0.22864879709117938</v>
      </c>
    </row>
    <row r="97" spans="9:17" x14ac:dyDescent="0.25">
      <c r="I97" s="2" t="s">
        <v>28</v>
      </c>
      <c r="J97" s="6">
        <v>5.228027241124332E-2</v>
      </c>
    </row>
    <row r="98" spans="9:17" x14ac:dyDescent="0.25">
      <c r="I98" s="2" t="s">
        <v>29</v>
      </c>
      <c r="J98" s="2">
        <v>1.5829513657829603E-2</v>
      </c>
    </row>
    <row r="99" spans="9:17" x14ac:dyDescent="0.25">
      <c r="I99" s="2" t="s">
        <v>30</v>
      </c>
      <c r="J99" s="2">
        <v>18748052.11534854</v>
      </c>
    </row>
    <row r="100" spans="9:17" ht="15.75" thickBot="1" x14ac:dyDescent="0.3">
      <c r="I100" s="3" t="s">
        <v>31</v>
      </c>
      <c r="J100" s="3">
        <v>28</v>
      </c>
    </row>
    <row r="102" spans="9:17" ht="15.75" thickBot="1" x14ac:dyDescent="0.3">
      <c r="I102" t="s">
        <v>32</v>
      </c>
    </row>
    <row r="103" spans="9:17" x14ac:dyDescent="0.25">
      <c r="I103" s="4"/>
      <c r="J103" s="4" t="s">
        <v>37</v>
      </c>
      <c r="K103" s="4" t="s">
        <v>38</v>
      </c>
      <c r="L103" s="4" t="s">
        <v>39</v>
      </c>
      <c r="M103" s="4" t="s">
        <v>40</v>
      </c>
      <c r="N103" s="4" t="s">
        <v>41</v>
      </c>
    </row>
    <row r="104" spans="9:17" x14ac:dyDescent="0.25">
      <c r="I104" s="2" t="s">
        <v>33</v>
      </c>
      <c r="J104" s="2">
        <v>1</v>
      </c>
      <c r="K104" s="2">
        <v>504131196403800</v>
      </c>
      <c r="L104" s="2">
        <v>504131196403800</v>
      </c>
      <c r="M104" s="2">
        <v>1.4342711701809807</v>
      </c>
      <c r="N104" s="2">
        <v>0.24187324357226886</v>
      </c>
      <c r="O104">
        <f>N104*2</f>
        <v>0.48374648714453772</v>
      </c>
    </row>
    <row r="105" spans="9:17" x14ac:dyDescent="0.25">
      <c r="I105" s="2" t="s">
        <v>34</v>
      </c>
      <c r="J105" s="2">
        <v>26</v>
      </c>
      <c r="K105" s="2">
        <v>9138725911115446</v>
      </c>
      <c r="L105" s="2">
        <v>351489458119824.88</v>
      </c>
      <c r="M105" s="2"/>
      <c r="N105" s="2"/>
    </row>
    <row r="106" spans="9:17" ht="15.75" thickBot="1" x14ac:dyDescent="0.3">
      <c r="I106" s="3" t="s">
        <v>35</v>
      </c>
      <c r="J106" s="3">
        <v>27</v>
      </c>
      <c r="K106" s="3">
        <v>9642857107519246</v>
      </c>
      <c r="L106" s="3"/>
      <c r="M106" s="3"/>
      <c r="N106" s="3"/>
    </row>
    <row r="107" spans="9:17" ht="15.75" thickBot="1" x14ac:dyDescent="0.3"/>
    <row r="108" spans="9:17" x14ac:dyDescent="0.25">
      <c r="I108" s="4"/>
      <c r="J108" s="4" t="s">
        <v>42</v>
      </c>
      <c r="K108" s="4" t="s">
        <v>30</v>
      </c>
      <c r="L108" s="4" t="s">
        <v>43</v>
      </c>
      <c r="M108" s="4" t="s">
        <v>44</v>
      </c>
      <c r="N108" s="4" t="s">
        <v>45</v>
      </c>
      <c r="O108" s="4" t="s">
        <v>46</v>
      </c>
      <c r="P108" s="4" t="s">
        <v>47</v>
      </c>
      <c r="Q108" s="4" t="s">
        <v>48</v>
      </c>
    </row>
    <row r="109" spans="9:17" x14ac:dyDescent="0.25">
      <c r="I109" s="2" t="s">
        <v>36</v>
      </c>
      <c r="J109" s="2">
        <v>28943120.102933019</v>
      </c>
      <c r="K109" s="2">
        <v>21479488.097960107</v>
      </c>
      <c r="L109" s="2">
        <v>1.347477182460495</v>
      </c>
      <c r="M109" s="2">
        <v>0.18945259835922668</v>
      </c>
      <c r="N109" s="2">
        <v>-15208600.009403192</v>
      </c>
      <c r="O109" s="2">
        <v>73094840.215269238</v>
      </c>
      <c r="P109" s="2">
        <v>-15208600.009403192</v>
      </c>
      <c r="Q109" s="2">
        <v>73094840.215269238</v>
      </c>
    </row>
    <row r="110" spans="9:17" ht="15.75" thickBot="1" x14ac:dyDescent="0.3">
      <c r="I110" s="3" t="s">
        <v>52</v>
      </c>
      <c r="J110" s="3">
        <v>-52045771444.468246</v>
      </c>
      <c r="K110" s="3">
        <v>43458008023.963882</v>
      </c>
      <c r="L110" s="3">
        <v>-1.197610608746007</v>
      </c>
      <c r="M110" s="3">
        <v>0.24187324357226897</v>
      </c>
      <c r="N110" s="3">
        <v>-141374986282.50421</v>
      </c>
      <c r="O110" s="3">
        <v>37283443393.567703</v>
      </c>
      <c r="P110" s="3">
        <v>-141374986282.50421</v>
      </c>
      <c r="Q110" s="3">
        <v>37283443393.567703</v>
      </c>
    </row>
  </sheetData>
  <mergeCells count="1">
    <mergeCell ref="C1:F1"/>
  </mergeCells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07C5-39BC-4EC8-8B41-AF104BF6E99B}">
  <dimension ref="A1:N52"/>
  <sheetViews>
    <sheetView topLeftCell="A19" zoomScale="80" zoomScaleNormal="80" workbookViewId="0">
      <selection activeCell="G4" sqref="G4"/>
    </sheetView>
  </sheetViews>
  <sheetFormatPr baseColWidth="10" defaultRowHeight="15" x14ac:dyDescent="0.25"/>
  <sheetData>
    <row r="1" spans="1:14" x14ac:dyDescent="0.25">
      <c r="A1" t="s">
        <v>25</v>
      </c>
      <c r="B1" s="29" t="s">
        <v>117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15.75" thickBot="1" x14ac:dyDescent="0.3"/>
    <row r="3" spans="1:14" x14ac:dyDescent="0.25">
      <c r="A3" s="5" t="s">
        <v>26</v>
      </c>
      <c r="B3" s="5"/>
    </row>
    <row r="4" spans="1:14" x14ac:dyDescent="0.25">
      <c r="A4" s="2" t="s">
        <v>27</v>
      </c>
      <c r="B4" s="6">
        <v>0.73802730391861726</v>
      </c>
    </row>
    <row r="5" spans="1:14" x14ac:dyDescent="0.25">
      <c r="A5" s="2" t="s">
        <v>28</v>
      </c>
      <c r="B5" s="6">
        <v>0.54468430132938306</v>
      </c>
    </row>
    <row r="6" spans="1:14" x14ac:dyDescent="0.25">
      <c r="A6" s="2" t="s">
        <v>29</v>
      </c>
      <c r="B6" s="2">
        <v>0.52717215907282089</v>
      </c>
    </row>
    <row r="7" spans="1:14" x14ac:dyDescent="0.25">
      <c r="A7" s="2" t="s">
        <v>30</v>
      </c>
      <c r="B7" s="2">
        <v>2.3928738123446096</v>
      </c>
    </row>
    <row r="8" spans="1:14" ht="15.75" thickBot="1" x14ac:dyDescent="0.3">
      <c r="A8" s="3" t="s">
        <v>31</v>
      </c>
      <c r="B8" s="3">
        <v>28</v>
      </c>
    </row>
    <row r="10" spans="1:14" ht="15.75" thickBot="1" x14ac:dyDescent="0.3">
      <c r="A10" t="s">
        <v>32</v>
      </c>
    </row>
    <row r="11" spans="1:14" x14ac:dyDescent="0.25">
      <c r="A11" s="4"/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</row>
    <row r="12" spans="1:14" x14ac:dyDescent="0.25">
      <c r="A12" s="2" t="s">
        <v>33</v>
      </c>
      <c r="B12" s="2">
        <v>1</v>
      </c>
      <c r="C12" s="2">
        <v>178.09231344807975</v>
      </c>
      <c r="D12" s="2">
        <v>178.09231344807975</v>
      </c>
      <c r="E12" s="2">
        <v>31.103236448714753</v>
      </c>
      <c r="F12" s="23">
        <v>7.38070883292248E-6</v>
      </c>
      <c r="G12" t="s">
        <v>65</v>
      </c>
    </row>
    <row r="13" spans="1:14" x14ac:dyDescent="0.25">
      <c r="A13" s="2" t="s">
        <v>34</v>
      </c>
      <c r="B13" s="2">
        <v>26</v>
      </c>
      <c r="C13" s="2">
        <v>148.87197212692027</v>
      </c>
      <c r="D13" s="2">
        <v>5.7258450818046258</v>
      </c>
      <c r="E13" s="2"/>
      <c r="F13" s="2"/>
      <c r="G13" t="s">
        <v>68</v>
      </c>
    </row>
    <row r="14" spans="1:14" ht="15.75" thickBot="1" x14ac:dyDescent="0.3">
      <c r="A14" s="3" t="s">
        <v>35</v>
      </c>
      <c r="B14" s="3">
        <v>27</v>
      </c>
      <c r="C14" s="3">
        <v>326.96428557500002</v>
      </c>
      <c r="D14" s="3"/>
      <c r="E14" s="3"/>
      <c r="F14" s="3"/>
    </row>
    <row r="15" spans="1:14" ht="15.75" thickBot="1" x14ac:dyDescent="0.3"/>
    <row r="16" spans="1:14" x14ac:dyDescent="0.25">
      <c r="A16" s="4"/>
      <c r="B16" s="4" t="s">
        <v>42</v>
      </c>
      <c r="C16" s="4" t="s">
        <v>30</v>
      </c>
      <c r="D16" s="4" t="s">
        <v>43</v>
      </c>
      <c r="E16" s="4" t="s">
        <v>44</v>
      </c>
      <c r="F16" s="4" t="s">
        <v>45</v>
      </c>
      <c r="G16" s="4" t="s">
        <v>46</v>
      </c>
      <c r="H16" s="4" t="s">
        <v>47</v>
      </c>
      <c r="I16" s="4" t="s">
        <v>48</v>
      </c>
    </row>
    <row r="17" spans="1:10" x14ac:dyDescent="0.25">
      <c r="A17" s="2" t="s">
        <v>36</v>
      </c>
      <c r="B17" s="2">
        <v>21.788250880139621</v>
      </c>
      <c r="C17" s="2">
        <v>2.6962332607511921</v>
      </c>
      <c r="D17" s="2">
        <v>8.0809962540367302</v>
      </c>
      <c r="E17" s="2">
        <v>1.4636894285038796E-8</v>
      </c>
      <c r="F17" s="2">
        <v>16.24606403921748</v>
      </c>
      <c r="G17" s="2">
        <v>27.330437721061763</v>
      </c>
      <c r="H17" s="6">
        <v>16.24606403921748</v>
      </c>
      <c r="I17" s="6">
        <v>27.330437721061763</v>
      </c>
      <c r="J17" t="s">
        <v>64</v>
      </c>
    </row>
    <row r="18" spans="1:10" ht="15.75" thickBot="1" x14ac:dyDescent="0.3">
      <c r="A18" s="3" t="s">
        <v>7</v>
      </c>
      <c r="B18" s="3">
        <v>-7.0251002747598228E-3</v>
      </c>
      <c r="C18" s="3">
        <v>1.2596495524262708E-3</v>
      </c>
      <c r="D18" s="3">
        <v>-5.5770275639192217</v>
      </c>
      <c r="E18" s="3">
        <v>7.3807088329224504E-6</v>
      </c>
      <c r="F18" s="3">
        <v>-9.6143470121453425E-3</v>
      </c>
      <c r="G18" s="3">
        <v>-4.4358535373743039E-3</v>
      </c>
      <c r="H18" s="22">
        <v>-9.6143470121453425E-3</v>
      </c>
      <c r="I18" s="22">
        <v>-4.4358535373743039E-3</v>
      </c>
      <c r="J18" t="s">
        <v>63</v>
      </c>
    </row>
    <row r="22" spans="1:10" x14ac:dyDescent="0.25">
      <c r="A22" t="s">
        <v>59</v>
      </c>
    </row>
    <row r="23" spans="1:10" ht="15.75" thickBot="1" x14ac:dyDescent="0.3"/>
    <row r="24" spans="1:10" x14ac:dyDescent="0.25">
      <c r="A24" s="4" t="s">
        <v>60</v>
      </c>
      <c r="B24" s="4" t="s">
        <v>61</v>
      </c>
      <c r="C24" s="4" t="s">
        <v>34</v>
      </c>
      <c r="D24" s="4" t="s">
        <v>62</v>
      </c>
      <c r="F24" s="24" t="s">
        <v>66</v>
      </c>
    </row>
    <row r="25" spans="1:10" x14ac:dyDescent="0.25">
      <c r="A25" s="2">
        <v>1</v>
      </c>
      <c r="B25" s="2">
        <v>6.2979047742942118</v>
      </c>
      <c r="C25" s="2">
        <v>3.7020952257057882</v>
      </c>
      <c r="D25" s="2">
        <v>1.5766053531916888</v>
      </c>
      <c r="F25" t="s">
        <v>67</v>
      </c>
    </row>
    <row r="26" spans="1:10" x14ac:dyDescent="0.25">
      <c r="A26" s="2">
        <v>2</v>
      </c>
      <c r="B26" s="2">
        <v>7.0636407042430331</v>
      </c>
      <c r="C26" s="2">
        <v>3.9363592957569669</v>
      </c>
      <c r="D26" s="2">
        <v>1.6763710167917514</v>
      </c>
    </row>
    <row r="27" spans="1:10" x14ac:dyDescent="0.25">
      <c r="A27" s="2">
        <v>3</v>
      </c>
      <c r="B27" s="2">
        <v>8.812890672658229</v>
      </c>
      <c r="C27" s="2">
        <v>2.187109327341771</v>
      </c>
      <c r="D27" s="2">
        <v>0.93142073968265482</v>
      </c>
    </row>
    <row r="28" spans="1:10" x14ac:dyDescent="0.25">
      <c r="A28" s="2">
        <v>4</v>
      </c>
      <c r="B28" s="2">
        <v>8.4194850572716788</v>
      </c>
      <c r="C28" s="2">
        <v>4.5805149427283212</v>
      </c>
      <c r="D28" s="2">
        <v>1.9506965485209027</v>
      </c>
    </row>
    <row r="29" spans="1:10" x14ac:dyDescent="0.25">
      <c r="A29" s="2">
        <v>5</v>
      </c>
      <c r="B29" s="2">
        <v>11.552679779814559</v>
      </c>
      <c r="C29" s="2">
        <v>-1.5526797798145591</v>
      </c>
      <c r="D29" s="2">
        <v>-0.66123724631676195</v>
      </c>
    </row>
    <row r="30" spans="1:10" x14ac:dyDescent="0.25">
      <c r="A30" s="2">
        <v>6</v>
      </c>
      <c r="B30" s="2">
        <v>8.8058655723834693</v>
      </c>
      <c r="C30" s="2">
        <v>2.1941344276165307</v>
      </c>
      <c r="D30" s="2">
        <v>0.9344125078638158</v>
      </c>
    </row>
    <row r="31" spans="1:10" x14ac:dyDescent="0.25">
      <c r="A31" s="2">
        <v>7</v>
      </c>
      <c r="B31" s="2">
        <v>10.800994050415259</v>
      </c>
      <c r="C31" s="2">
        <v>-0.80099405041525884</v>
      </c>
      <c r="D31" s="2">
        <v>-0.341118050932532</v>
      </c>
    </row>
    <row r="32" spans="1:10" x14ac:dyDescent="0.25">
      <c r="A32" s="2">
        <v>8</v>
      </c>
      <c r="B32" s="2">
        <v>8.9955432798019839</v>
      </c>
      <c r="C32" s="2">
        <v>2.0044567201980161</v>
      </c>
      <c r="D32" s="2">
        <v>0.85363476697246821</v>
      </c>
    </row>
    <row r="33" spans="1:4" x14ac:dyDescent="0.25">
      <c r="A33" s="2">
        <v>9</v>
      </c>
      <c r="B33" s="2">
        <v>3.6845674720835575</v>
      </c>
      <c r="C33" s="2">
        <v>0.3154325279164425</v>
      </c>
      <c r="D33" s="2">
        <v>0.13433274450390173</v>
      </c>
    </row>
    <row r="34" spans="1:4" x14ac:dyDescent="0.25">
      <c r="A34" s="2">
        <v>10</v>
      </c>
      <c r="B34" s="2">
        <v>4.3941025998343015</v>
      </c>
      <c r="C34" s="2">
        <v>-2.3941025998343015</v>
      </c>
      <c r="D34" s="2">
        <v>-1.0195726324865935</v>
      </c>
    </row>
    <row r="35" spans="1:4" x14ac:dyDescent="0.25">
      <c r="A35" s="2">
        <v>11</v>
      </c>
      <c r="B35" s="2">
        <v>7.8504519350161335</v>
      </c>
      <c r="C35" s="2">
        <v>-0.85045193501613348</v>
      </c>
      <c r="D35" s="2">
        <v>-0.36218060088474457</v>
      </c>
    </row>
    <row r="36" spans="1:4" x14ac:dyDescent="0.25">
      <c r="A36" s="2">
        <v>12</v>
      </c>
      <c r="B36" s="2">
        <v>8.3211336534250417</v>
      </c>
      <c r="C36" s="2">
        <v>1.6788663465749583</v>
      </c>
      <c r="D36" s="2">
        <v>0.71497611701731167</v>
      </c>
    </row>
    <row r="37" spans="1:4" x14ac:dyDescent="0.25">
      <c r="A37" s="2">
        <v>13</v>
      </c>
      <c r="B37" s="2">
        <v>9.4170492962875727</v>
      </c>
      <c r="C37" s="2">
        <v>-0.4170492962875727</v>
      </c>
      <c r="D37" s="2">
        <v>-0.17760811459042364</v>
      </c>
    </row>
    <row r="38" spans="1:4" x14ac:dyDescent="0.25">
      <c r="A38" s="2">
        <v>14</v>
      </c>
      <c r="B38" s="2">
        <v>9.7823545105750842</v>
      </c>
      <c r="C38" s="2">
        <v>-0.78235451057508421</v>
      </c>
      <c r="D38" s="2">
        <v>-0.33318006001079753</v>
      </c>
    </row>
    <row r="39" spans="1:4" x14ac:dyDescent="0.25">
      <c r="A39" s="2">
        <v>15</v>
      </c>
      <c r="B39" s="2">
        <v>8.4335352578211982</v>
      </c>
      <c r="C39" s="2">
        <v>-2.4335352578211982</v>
      </c>
      <c r="D39" s="2">
        <v>-1.036365755267725</v>
      </c>
    </row>
    <row r="40" spans="1:4" x14ac:dyDescent="0.25">
      <c r="A40" s="2">
        <v>16</v>
      </c>
      <c r="B40" s="2">
        <v>5.7148214514891471</v>
      </c>
      <c r="C40" s="2">
        <v>-0.71482145148914711</v>
      </c>
      <c r="D40" s="2">
        <v>-0.30441986450502134</v>
      </c>
    </row>
    <row r="41" spans="1:4" x14ac:dyDescent="0.25">
      <c r="A41" s="2">
        <v>17</v>
      </c>
      <c r="B41" s="2">
        <v>7.2322431108372687</v>
      </c>
      <c r="C41" s="2">
        <v>-2.2322431108372687</v>
      </c>
      <c r="D41" s="2">
        <v>-0.95064179163580387</v>
      </c>
    </row>
    <row r="42" spans="1:4" x14ac:dyDescent="0.25">
      <c r="A42" s="2">
        <v>18</v>
      </c>
      <c r="B42" s="2">
        <v>1.6894389940517698</v>
      </c>
      <c r="C42" s="2">
        <v>3.3105610059482302</v>
      </c>
      <c r="D42" s="2">
        <v>1.4098633033002488</v>
      </c>
    </row>
    <row r="43" spans="1:4" x14ac:dyDescent="0.25">
      <c r="A43" s="2">
        <v>19</v>
      </c>
      <c r="B43" s="2">
        <v>4.8507341176936869</v>
      </c>
      <c r="C43" s="2">
        <v>1.1492658823063131</v>
      </c>
      <c r="D43" s="2">
        <v>0.48943601712440138</v>
      </c>
    </row>
    <row r="44" spans="1:4" x14ac:dyDescent="0.25">
      <c r="A44" s="2">
        <v>20</v>
      </c>
      <c r="B44" s="2">
        <v>5.7077963512143874</v>
      </c>
      <c r="C44" s="2">
        <v>-1.7077963512143874</v>
      </c>
      <c r="D44" s="2">
        <v>-0.7272964916704755</v>
      </c>
    </row>
    <row r="45" spans="1:4" x14ac:dyDescent="0.25">
      <c r="A45" s="2">
        <v>21</v>
      </c>
      <c r="B45" s="2">
        <v>6.3119549748437311</v>
      </c>
      <c r="C45" s="2">
        <v>-3.3119549748437311</v>
      </c>
      <c r="D45" s="2">
        <v>-1.4104569505969389</v>
      </c>
    </row>
    <row r="46" spans="1:4" x14ac:dyDescent="0.25">
      <c r="A46" s="2">
        <v>22</v>
      </c>
      <c r="B46" s="2">
        <v>3.579190967962159</v>
      </c>
      <c r="C46" s="2">
        <v>-0.57919096796215896</v>
      </c>
      <c r="D46" s="2">
        <v>-0.24665912812529742</v>
      </c>
    </row>
    <row r="47" spans="1:4" x14ac:dyDescent="0.25">
      <c r="A47" s="2">
        <v>23</v>
      </c>
      <c r="B47" s="2">
        <v>7.3657200160577059</v>
      </c>
      <c r="C47" s="2">
        <v>-3.3657200160577059</v>
      </c>
      <c r="D47" s="2">
        <v>-1.4333537824244789</v>
      </c>
    </row>
    <row r="48" spans="1:4" x14ac:dyDescent="0.25">
      <c r="A48" s="2">
        <v>24</v>
      </c>
      <c r="B48" s="2">
        <v>7.8855774363899318</v>
      </c>
      <c r="C48" s="2">
        <v>2.1144225636100682</v>
      </c>
      <c r="D48" s="2">
        <v>0.90046574424929593</v>
      </c>
    </row>
    <row r="49" spans="1:4" x14ac:dyDescent="0.25">
      <c r="A49" s="2">
        <v>25</v>
      </c>
      <c r="B49" s="2">
        <v>7.4008455174315042</v>
      </c>
      <c r="C49" s="2">
        <v>-1.4008455174315042</v>
      </c>
      <c r="D49" s="2">
        <v>-0.59657583263705349</v>
      </c>
    </row>
    <row r="50" spans="1:4" x14ac:dyDescent="0.25">
      <c r="A50" s="2">
        <v>26</v>
      </c>
      <c r="B50" s="2">
        <v>9.2414217894185775</v>
      </c>
      <c r="C50" s="2">
        <v>-1.2414217894185775</v>
      </c>
      <c r="D50" s="2">
        <v>-0.5286823054080132</v>
      </c>
    </row>
    <row r="51" spans="1:4" x14ac:dyDescent="0.25">
      <c r="A51" s="2">
        <v>27</v>
      </c>
      <c r="B51" s="2">
        <v>1.5840624899303712</v>
      </c>
      <c r="C51" s="2">
        <v>0.41593751006962876</v>
      </c>
      <c r="D51" s="2">
        <v>0.17713463997781936</v>
      </c>
    </row>
    <row r="52" spans="1:4" ht="15.75" thickBot="1" x14ac:dyDescent="0.3">
      <c r="A52" s="3">
        <v>28</v>
      </c>
      <c r="B52" s="3">
        <v>3.8039941767544754</v>
      </c>
      <c r="C52" s="3">
        <v>-3.8039941667544754</v>
      </c>
      <c r="D52" s="3">
        <v>-1.6200008917036126</v>
      </c>
    </row>
  </sheetData>
  <mergeCells count="1"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0AB8-8915-4857-BCF1-DC3826558DA0}">
  <dimension ref="A1:P81"/>
  <sheetViews>
    <sheetView tabSelected="1" zoomScale="90" zoomScaleNormal="90" workbookViewId="0">
      <selection activeCell="M24" sqref="M24"/>
    </sheetView>
  </sheetViews>
  <sheetFormatPr baseColWidth="10" defaultRowHeight="15" x14ac:dyDescent="0.25"/>
  <sheetData>
    <row r="1" spans="1:14" x14ac:dyDescent="0.25">
      <c r="A1" s="37" t="s">
        <v>61</v>
      </c>
      <c r="B1" s="37" t="s">
        <v>34</v>
      </c>
      <c r="D1" s="28" t="s">
        <v>116</v>
      </c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.75" thickBot="1" x14ac:dyDescent="0.3">
      <c r="A2" s="35">
        <v>6.2979047742942118</v>
      </c>
      <c r="B2" s="35">
        <v>3.7020952257057882</v>
      </c>
      <c r="D2" s="26" t="s">
        <v>69</v>
      </c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35">
        <v>7.0636407042430331</v>
      </c>
      <c r="B3" s="35">
        <v>3.9363592957569669</v>
      </c>
      <c r="D3" s="27"/>
      <c r="H3" s="4" t="s">
        <v>82</v>
      </c>
      <c r="I3" s="4" t="s">
        <v>81</v>
      </c>
    </row>
    <row r="4" spans="1:14" x14ac:dyDescent="0.25">
      <c r="A4" s="35">
        <v>8.812890672658229</v>
      </c>
      <c r="B4" s="35">
        <v>2.187109327341771</v>
      </c>
      <c r="H4" s="25">
        <v>-2.1269941667544754</v>
      </c>
      <c r="I4" s="2">
        <v>6</v>
      </c>
      <c r="K4" t="s">
        <v>119</v>
      </c>
    </row>
    <row r="5" spans="1:14" x14ac:dyDescent="0.25">
      <c r="A5" s="35">
        <v>8.4194850572716788</v>
      </c>
      <c r="B5" s="35">
        <v>4.5805149427283212</v>
      </c>
      <c r="D5" t="s">
        <v>72</v>
      </c>
      <c r="E5">
        <v>28</v>
      </c>
      <c r="H5" s="25">
        <v>-0.44999416675447534</v>
      </c>
      <c r="I5" s="2">
        <v>9</v>
      </c>
    </row>
    <row r="6" spans="1:14" x14ac:dyDescent="0.25">
      <c r="A6" s="35">
        <v>11.552679779814559</v>
      </c>
      <c r="B6" s="35">
        <v>-1.5526797798145591</v>
      </c>
      <c r="D6" t="s">
        <v>73</v>
      </c>
      <c r="E6">
        <f>SQRT(E5)</f>
        <v>5.2915026221291814</v>
      </c>
      <c r="F6">
        <v>5</v>
      </c>
      <c r="H6" s="25">
        <v>1.2270058332455247</v>
      </c>
      <c r="I6" s="2">
        <v>4</v>
      </c>
    </row>
    <row r="7" spans="1:14" x14ac:dyDescent="0.25">
      <c r="A7" s="35">
        <v>8.8058655723834693</v>
      </c>
      <c r="B7" s="35">
        <v>2.1941344276165307</v>
      </c>
      <c r="D7" t="s">
        <v>74</v>
      </c>
      <c r="E7">
        <f>MIN(B2:B29)</f>
        <v>-3.8039941667544754</v>
      </c>
      <c r="H7" s="25">
        <v>2.9040058332455247</v>
      </c>
      <c r="I7" s="2">
        <v>5</v>
      </c>
    </row>
    <row r="8" spans="1:14" ht="15.75" thickBot="1" x14ac:dyDescent="0.3">
      <c r="A8" s="35">
        <v>10.800994050415259</v>
      </c>
      <c r="B8" s="35">
        <v>-0.80099405041525884</v>
      </c>
      <c r="D8" t="s">
        <v>75</v>
      </c>
      <c r="E8">
        <f>MAX(B2:B29)</f>
        <v>4.5805149427283212</v>
      </c>
      <c r="H8" s="3" t="s">
        <v>83</v>
      </c>
      <c r="I8" s="3">
        <v>4</v>
      </c>
    </row>
    <row r="9" spans="1:14" x14ac:dyDescent="0.25">
      <c r="A9" s="35">
        <v>8.9955432798019839</v>
      </c>
      <c r="B9" s="35">
        <v>2.0044567201980161</v>
      </c>
      <c r="D9" t="s">
        <v>76</v>
      </c>
      <c r="E9">
        <f>E8-E7</f>
        <v>8.3845091094827957</v>
      </c>
    </row>
    <row r="10" spans="1:14" x14ac:dyDescent="0.25">
      <c r="A10" s="35">
        <v>3.6845674720835575</v>
      </c>
      <c r="B10" s="35">
        <v>0.3154325279164425</v>
      </c>
      <c r="D10" t="s">
        <v>77</v>
      </c>
      <c r="E10">
        <f>E9/F6</f>
        <v>1.6769018218965592</v>
      </c>
      <c r="F10">
        <v>1.677</v>
      </c>
    </row>
    <row r="11" spans="1:14" x14ac:dyDescent="0.25">
      <c r="A11" s="35">
        <v>4.3941025998343015</v>
      </c>
      <c r="B11" s="35">
        <v>-2.3941025998343015</v>
      </c>
      <c r="D11" t="s">
        <v>86</v>
      </c>
      <c r="E11">
        <f>_xlfn.STDEV.S(B2:B29)</f>
        <v>2.3481432548806493</v>
      </c>
    </row>
    <row r="12" spans="1:14" x14ac:dyDescent="0.25">
      <c r="A12" s="35">
        <v>7.8504519350161335</v>
      </c>
      <c r="B12" s="35">
        <v>-0.85045193501613348</v>
      </c>
      <c r="D12" s="30" t="s">
        <v>78</v>
      </c>
      <c r="E12" s="30" t="s">
        <v>79</v>
      </c>
      <c r="F12" s="30" t="s">
        <v>80</v>
      </c>
      <c r="G12" s="30" t="s">
        <v>81</v>
      </c>
      <c r="H12" s="30" t="s">
        <v>44</v>
      </c>
      <c r="I12" s="30" t="s">
        <v>84</v>
      </c>
      <c r="J12" s="30" t="s">
        <v>85</v>
      </c>
    </row>
    <row r="13" spans="1:14" x14ac:dyDescent="0.25">
      <c r="A13" s="35">
        <v>8.3211336534250417</v>
      </c>
      <c r="B13" s="35">
        <v>1.6788663465749583</v>
      </c>
      <c r="D13" s="31">
        <v>1</v>
      </c>
      <c r="E13" s="31">
        <f>E7</f>
        <v>-3.8039941667544754</v>
      </c>
      <c r="F13" s="31">
        <f>E13+$F$10</f>
        <v>-2.1269941667544754</v>
      </c>
      <c r="G13" s="32">
        <v>6</v>
      </c>
      <c r="H13" s="31">
        <f>_xlfn.NORM.DIST(F13,0,$E$11,1)</f>
        <v>0.18251567446067066</v>
      </c>
      <c r="I13" s="31">
        <f>H13*$E$5</f>
        <v>5.1104388848987785</v>
      </c>
      <c r="J13" s="31">
        <f>POWER(G13-I13,2)/I13</f>
        <v>0.15484364363273315</v>
      </c>
    </row>
    <row r="14" spans="1:14" x14ac:dyDescent="0.25">
      <c r="A14" s="35">
        <v>9.4170492962875727</v>
      </c>
      <c r="B14" s="35">
        <v>-0.4170492962875727</v>
      </c>
      <c r="D14" s="31">
        <v>2</v>
      </c>
      <c r="E14" s="31">
        <f>F13</f>
        <v>-2.1269941667544754</v>
      </c>
      <c r="F14" s="31">
        <f t="shared" ref="F14:F17" si="0">E14+$F$10</f>
        <v>-0.44999416675447534</v>
      </c>
      <c r="G14" s="32">
        <v>9</v>
      </c>
      <c r="H14" s="31">
        <f>_xlfn.NORM.DIST(F14,0,$E$11,1)-_xlfn.NORM.DIST(E14,0,$E$11,1)</f>
        <v>0.24149709772561753</v>
      </c>
      <c r="I14" s="31">
        <f t="shared" ref="I14:I17" si="1">H14*$E$5</f>
        <v>6.7619187363172912</v>
      </c>
      <c r="J14" s="31">
        <f t="shared" ref="J14:J17" si="2">POWER(G14-I14,2)/I14</f>
        <v>0.740767219804777</v>
      </c>
    </row>
    <row r="15" spans="1:14" x14ac:dyDescent="0.25">
      <c r="A15" s="35">
        <v>9.7823545105750842</v>
      </c>
      <c r="B15" s="35">
        <v>-0.78235451057508421</v>
      </c>
      <c r="D15" s="31">
        <v>3</v>
      </c>
      <c r="E15" s="31">
        <f t="shared" ref="E15:E17" si="3">F14</f>
        <v>-0.44999416675447534</v>
      </c>
      <c r="F15" s="31">
        <f t="shared" si="0"/>
        <v>1.2270058332455247</v>
      </c>
      <c r="G15" s="32">
        <v>4</v>
      </c>
      <c r="H15" s="31">
        <f t="shared" ref="H15:H17" si="4">_xlfn.NORM.DIST(F15,0,$E$11,1)-_xlfn.NORM.DIST(E15,0,$E$11,1)</f>
        <v>0.27534107192147761</v>
      </c>
      <c r="I15" s="31">
        <f t="shared" si="1"/>
        <v>7.7095500138013726</v>
      </c>
      <c r="J15" s="31">
        <f t="shared" si="2"/>
        <v>1.784898117303827</v>
      </c>
    </row>
    <row r="16" spans="1:14" x14ac:dyDescent="0.25">
      <c r="A16" s="35">
        <v>8.4335352578211982</v>
      </c>
      <c r="B16" s="35">
        <v>-2.4335352578211982</v>
      </c>
      <c r="D16" s="31">
        <v>4</v>
      </c>
      <c r="E16" s="31">
        <f t="shared" si="3"/>
        <v>1.2270058332455247</v>
      </c>
      <c r="F16" s="31">
        <f t="shared" si="0"/>
        <v>2.9040058332455247</v>
      </c>
      <c r="G16" s="32">
        <v>5</v>
      </c>
      <c r="H16" s="31">
        <f>_xlfn.NORM.DIST(F16,0,$E$11,1)-_xlfn.NORM.DIST(E16,0,$E$11,1)</f>
        <v>0.1925514296427091</v>
      </c>
      <c r="I16" s="31">
        <f t="shared" si="1"/>
        <v>5.3914400299958549</v>
      </c>
      <c r="J16" s="31">
        <f t="shared" si="2"/>
        <v>2.8420105988505931E-2</v>
      </c>
    </row>
    <row r="17" spans="1:14" x14ac:dyDescent="0.25">
      <c r="A17" s="35">
        <v>5.7148214514891471</v>
      </c>
      <c r="B17" s="35">
        <v>-0.71482145148914711</v>
      </c>
      <c r="D17" s="31">
        <v>5</v>
      </c>
      <c r="E17" s="31">
        <f t="shared" si="3"/>
        <v>2.9040058332455247</v>
      </c>
      <c r="F17" s="31">
        <f t="shared" si="0"/>
        <v>4.5810058332455252</v>
      </c>
      <c r="G17" s="32">
        <v>4</v>
      </c>
      <c r="H17" s="31">
        <f>1-_xlfn.NORM.DIST(E17,0,$E$11,1)</f>
        <v>0.1080947262495251</v>
      </c>
      <c r="I17" s="31">
        <f t="shared" si="1"/>
        <v>3.0266523349867027</v>
      </c>
      <c r="J17" s="31">
        <f t="shared" si="2"/>
        <v>0.31302097899889791</v>
      </c>
    </row>
    <row r="18" spans="1:14" x14ac:dyDescent="0.25">
      <c r="A18" s="35">
        <v>7.2322431108372687</v>
      </c>
      <c r="B18" s="35">
        <v>-2.2322431108372687</v>
      </c>
      <c r="G18" s="33">
        <f>SUM(G13:G17)</f>
        <v>28</v>
      </c>
      <c r="H18" s="33">
        <f>SUM(H13:H17)</f>
        <v>1</v>
      </c>
      <c r="J18" s="33">
        <f>SUM(J13:J17)</f>
        <v>3.021950065728741</v>
      </c>
    </row>
    <row r="19" spans="1:14" x14ac:dyDescent="0.25">
      <c r="A19" s="35">
        <v>1.6894389940517698</v>
      </c>
      <c r="B19" s="35">
        <v>3.3105610059482302</v>
      </c>
      <c r="D19" t="s">
        <v>87</v>
      </c>
    </row>
    <row r="20" spans="1:14" x14ac:dyDescent="0.25">
      <c r="A20" s="35">
        <v>4.8507341176936869</v>
      </c>
      <c r="B20" s="35">
        <v>1.1492658823063131</v>
      </c>
      <c r="D20" t="s">
        <v>88</v>
      </c>
    </row>
    <row r="21" spans="1:14" x14ac:dyDescent="0.25">
      <c r="A21" s="35">
        <v>5.7077963512143874</v>
      </c>
      <c r="B21" s="35">
        <v>-1.7077963512143874</v>
      </c>
    </row>
    <row r="22" spans="1:14" x14ac:dyDescent="0.25">
      <c r="A22" s="35">
        <v>6.3119549748437311</v>
      </c>
      <c r="B22" s="35">
        <v>-3.3119549748437311</v>
      </c>
      <c r="D22" t="s">
        <v>89</v>
      </c>
    </row>
    <row r="23" spans="1:14" x14ac:dyDescent="0.25">
      <c r="A23" s="35">
        <v>3.579190967962159</v>
      </c>
      <c r="B23" s="35">
        <v>-0.57919096796215896</v>
      </c>
      <c r="D23" t="s">
        <v>90</v>
      </c>
      <c r="E23">
        <f>_xlfn.CHISQ.INV.RT(0.05,3)</f>
        <v>7.8147279032511792</v>
      </c>
      <c r="F23" t="s">
        <v>91</v>
      </c>
    </row>
    <row r="24" spans="1:14" x14ac:dyDescent="0.25">
      <c r="A24" s="35">
        <v>7.3657200160577059</v>
      </c>
      <c r="B24" s="35">
        <v>-3.3657200160577059</v>
      </c>
      <c r="D24" t="s">
        <v>92</v>
      </c>
    </row>
    <row r="25" spans="1:14" x14ac:dyDescent="0.25">
      <c r="A25" s="35">
        <v>7.8855774363899318</v>
      </c>
      <c r="B25" s="35">
        <v>2.1144225636100682</v>
      </c>
      <c r="D25" t="s">
        <v>93</v>
      </c>
    </row>
    <row r="26" spans="1:14" x14ac:dyDescent="0.25">
      <c r="A26" s="35">
        <v>7.4008455174315042</v>
      </c>
      <c r="B26" s="35">
        <v>-1.4008455174315042</v>
      </c>
    </row>
    <row r="27" spans="1:14" x14ac:dyDescent="0.25">
      <c r="A27" s="35">
        <v>9.2414217894185775</v>
      </c>
      <c r="B27" s="35">
        <v>-1.2414217894185775</v>
      </c>
    </row>
    <row r="28" spans="1:14" x14ac:dyDescent="0.25">
      <c r="A28" s="35">
        <v>1.5840624899303712</v>
      </c>
      <c r="B28" s="35">
        <v>0.41593751006962876</v>
      </c>
    </row>
    <row r="29" spans="1:14" x14ac:dyDescent="0.25">
      <c r="A29" s="35">
        <v>3.8039941767544754</v>
      </c>
      <c r="B29" s="35">
        <v>-3.8039941667544754</v>
      </c>
      <c r="D29" s="28" t="s">
        <v>70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2" spans="1:14" x14ac:dyDescent="0.25">
      <c r="J32" t="s">
        <v>94</v>
      </c>
    </row>
    <row r="33" spans="4:14" x14ac:dyDescent="0.25">
      <c r="J33" t="s">
        <v>95</v>
      </c>
    </row>
    <row r="47" spans="4:14" x14ac:dyDescent="0.25">
      <c r="D47" s="28" t="s">
        <v>71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4:14" x14ac:dyDescent="0.25">
      <c r="F48" t="s">
        <v>98</v>
      </c>
      <c r="G48" t="s">
        <v>99</v>
      </c>
    </row>
    <row r="49" spans="5:11" x14ac:dyDescent="0.25">
      <c r="E49" s="36" t="s">
        <v>34</v>
      </c>
      <c r="F49" s="33" t="s">
        <v>96</v>
      </c>
      <c r="G49" s="33" t="s">
        <v>97</v>
      </c>
    </row>
    <row r="50" spans="5:11" x14ac:dyDescent="0.25">
      <c r="E50" s="35">
        <v>3.7020952257057882</v>
      </c>
      <c r="F50" s="34">
        <f>E50*E50</f>
        <v>13.705509060193592</v>
      </c>
      <c r="G50" s="34"/>
      <c r="I50" t="s">
        <v>101</v>
      </c>
    </row>
    <row r="51" spans="5:11" x14ac:dyDescent="0.25">
      <c r="E51" s="35">
        <v>3.9363592957569669</v>
      </c>
      <c r="F51" s="34">
        <f t="shared" ref="F51:F77" si="5">E51*E51</f>
        <v>15.494924505292284</v>
      </c>
      <c r="G51" s="34">
        <f>POWER(E51-E50,2)</f>
        <v>5.4879654516943543E-2</v>
      </c>
      <c r="I51" t="s">
        <v>100</v>
      </c>
    </row>
    <row r="52" spans="5:11" x14ac:dyDescent="0.25">
      <c r="E52" s="35">
        <v>2.187109327341771</v>
      </c>
      <c r="F52" s="34">
        <f t="shared" si="5"/>
        <v>4.7834472097453737</v>
      </c>
      <c r="G52" s="34">
        <f t="shared" ref="G52:G77" si="6">POWER(E52-E51,2)</f>
        <v>3.0598754520005635</v>
      </c>
    </row>
    <row r="53" spans="5:11" x14ac:dyDescent="0.25">
      <c r="E53" s="35">
        <v>4.5805149427283212</v>
      </c>
      <c r="F53" s="34">
        <f t="shared" si="5"/>
        <v>20.981117140557437</v>
      </c>
      <c r="G53" s="34">
        <f t="shared" si="6"/>
        <v>5.7283904397638707</v>
      </c>
      <c r="I53" t="s">
        <v>102</v>
      </c>
      <c r="J53" cm="1">
        <f t="array" ref="J53">SUM(G51:G77/SUM(F50:F77))</f>
        <v>1.5661445794718667</v>
      </c>
    </row>
    <row r="54" spans="5:11" x14ac:dyDescent="0.25">
      <c r="E54" s="35">
        <v>-1.5526797798145591</v>
      </c>
      <c r="F54" s="34">
        <f t="shared" si="5"/>
        <v>2.4108144986449878</v>
      </c>
      <c r="G54" s="34">
        <f t="shared" si="6"/>
        <v>37.616077504627839</v>
      </c>
      <c r="I54" t="s">
        <v>103</v>
      </c>
      <c r="J54">
        <v>0.05</v>
      </c>
    </row>
    <row r="55" spans="5:11" x14ac:dyDescent="0.25">
      <c r="E55" s="35">
        <v>2.1941344276165307</v>
      </c>
      <c r="F55" s="34">
        <f t="shared" si="5"/>
        <v>4.814225886452121</v>
      </c>
      <c r="G55" s="34">
        <f t="shared" si="6"/>
        <v>14.038616705007465</v>
      </c>
      <c r="I55" t="s">
        <v>72</v>
      </c>
      <c r="J55">
        <v>28</v>
      </c>
    </row>
    <row r="56" spans="5:11" x14ac:dyDescent="0.25">
      <c r="E56" s="35">
        <v>-0.80099405041525884</v>
      </c>
      <c r="F56" s="34">
        <f t="shared" si="5"/>
        <v>0.64159146880064222</v>
      </c>
      <c r="G56" s="34">
        <f t="shared" si="6"/>
        <v>8.9707945999170242</v>
      </c>
    </row>
    <row r="57" spans="5:11" x14ac:dyDescent="0.25">
      <c r="E57" s="35">
        <v>2.0044567201980161</v>
      </c>
      <c r="F57" s="34">
        <f t="shared" si="5"/>
        <v>4.017846743146988</v>
      </c>
      <c r="G57" s="34">
        <f t="shared" si="6"/>
        <v>7.8705540263346183</v>
      </c>
      <c r="I57" s="33"/>
      <c r="J57" s="33" t="s">
        <v>104</v>
      </c>
      <c r="K57" s="33" t="s">
        <v>105</v>
      </c>
    </row>
    <row r="58" spans="5:11" x14ac:dyDescent="0.25">
      <c r="E58" s="35">
        <v>0.3154325279164425</v>
      </c>
      <c r="F58" s="34">
        <f t="shared" si="5"/>
        <v>9.9497679667757272E-2</v>
      </c>
      <c r="G58" s="34">
        <f t="shared" si="6"/>
        <v>2.8528027221124224</v>
      </c>
      <c r="I58" s="34">
        <v>20</v>
      </c>
      <c r="J58" s="34">
        <v>1.2</v>
      </c>
      <c r="K58" s="34">
        <v>1.41</v>
      </c>
    </row>
    <row r="59" spans="5:11" x14ac:dyDescent="0.25">
      <c r="E59" s="35">
        <v>-2.3941025998343015</v>
      </c>
      <c r="F59" s="34">
        <f t="shared" si="5"/>
        <v>5.7317272585333621</v>
      </c>
      <c r="G59" s="34">
        <f t="shared" si="6"/>
        <v>7.3415806085152404</v>
      </c>
      <c r="I59" s="34">
        <v>25</v>
      </c>
      <c r="J59" s="34">
        <v>1.2</v>
      </c>
      <c r="K59" s="34">
        <v>1.45</v>
      </c>
    </row>
    <row r="60" spans="5:11" x14ac:dyDescent="0.25">
      <c r="E60" s="35">
        <v>-0.85045193501613348</v>
      </c>
      <c r="F60" s="34">
        <f t="shared" si="5"/>
        <v>0.72326849377268576</v>
      </c>
      <c r="G60" s="34">
        <f t="shared" si="6"/>
        <v>2.3828573749935722</v>
      </c>
      <c r="I60" s="34">
        <v>28</v>
      </c>
      <c r="J60" s="34"/>
      <c r="K60" s="34"/>
    </row>
    <row r="61" spans="5:11" x14ac:dyDescent="0.25">
      <c r="E61" s="35">
        <v>1.6788663465749583</v>
      </c>
      <c r="F61" s="34">
        <f t="shared" si="5"/>
        <v>2.818592209661948</v>
      </c>
      <c r="G61" s="34">
        <f t="shared" si="6"/>
        <v>6.3974509695909134</v>
      </c>
      <c r="I61" s="34">
        <v>30</v>
      </c>
      <c r="J61" s="34">
        <v>1.35</v>
      </c>
      <c r="K61" s="34">
        <v>1.49</v>
      </c>
    </row>
    <row r="62" spans="5:11" x14ac:dyDescent="0.25">
      <c r="E62" s="35">
        <v>-0.4170492962875727</v>
      </c>
      <c r="F62" s="34">
        <f t="shared" si="5"/>
        <v>0.1739301155339596</v>
      </c>
      <c r="G62" s="34">
        <f t="shared" si="6"/>
        <v>4.3928623819958563</v>
      </c>
    </row>
    <row r="63" spans="5:11" x14ac:dyDescent="0.25">
      <c r="E63" s="35">
        <v>-0.78235451057508421</v>
      </c>
      <c r="F63" s="34">
        <f t="shared" si="5"/>
        <v>0.61207858021717954</v>
      </c>
      <c r="G63" s="34">
        <f t="shared" si="6"/>
        <v>0.13344789958564471</v>
      </c>
    </row>
    <row r="64" spans="5:11" x14ac:dyDescent="0.25">
      <c r="E64" s="35">
        <v>-2.4335352578211982</v>
      </c>
      <c r="F64" s="34">
        <f t="shared" si="5"/>
        <v>5.9220938510588859</v>
      </c>
      <c r="G64" s="34">
        <f t="shared" si="6"/>
        <v>2.7263978600762351</v>
      </c>
    </row>
    <row r="65" spans="5:16" x14ac:dyDescent="0.25">
      <c r="E65" s="35">
        <v>-0.71482145148914711</v>
      </c>
      <c r="F65" s="34">
        <f t="shared" si="5"/>
        <v>0.51096970750905113</v>
      </c>
      <c r="G65" s="34">
        <f t="shared" si="6"/>
        <v>2.9539771480764072</v>
      </c>
      <c r="I65" t="s">
        <v>106</v>
      </c>
      <c r="K65" t="s">
        <v>107</v>
      </c>
    </row>
    <row r="66" spans="5:16" x14ac:dyDescent="0.25">
      <c r="E66" s="35">
        <v>-2.2322431108372687</v>
      </c>
      <c r="F66" s="34">
        <f t="shared" si="5"/>
        <v>4.9829093058804466</v>
      </c>
      <c r="G66" s="34">
        <f t="shared" si="6"/>
        <v>2.3025684922588066</v>
      </c>
    </row>
    <row r="67" spans="5:16" x14ac:dyDescent="0.25">
      <c r="E67" s="35">
        <v>3.3105610059482302</v>
      </c>
      <c r="F67" s="34">
        <f t="shared" si="5"/>
        <v>10.959814174104958</v>
      </c>
      <c r="G67" s="34">
        <f t="shared" si="6"/>
        <v>30.722677477054276</v>
      </c>
      <c r="I67" t="s">
        <v>108</v>
      </c>
    </row>
    <row r="68" spans="5:16" x14ac:dyDescent="0.25">
      <c r="E68" s="35">
        <v>1.1492658823063131</v>
      </c>
      <c r="F68" s="34">
        <f t="shared" si="5"/>
        <v>1.3208120682333082</v>
      </c>
      <c r="G68" s="34">
        <f t="shared" si="6"/>
        <v>4.6711966114783294</v>
      </c>
    </row>
    <row r="69" spans="5:16" x14ac:dyDescent="0.25">
      <c r="E69" s="35">
        <v>-1.7077963512143874</v>
      </c>
      <c r="F69" s="34">
        <f t="shared" si="5"/>
        <v>2.9165683772211755</v>
      </c>
      <c r="G69" s="34">
        <f t="shared" si="6"/>
        <v>8.1628046062102939</v>
      </c>
      <c r="I69" t="s">
        <v>109</v>
      </c>
    </row>
    <row r="70" spans="5:16" x14ac:dyDescent="0.25">
      <c r="E70" s="35">
        <v>-3.3119549748437311</v>
      </c>
      <c r="F70" s="34">
        <f t="shared" si="5"/>
        <v>10.969045755392139</v>
      </c>
      <c r="G70" s="34">
        <f t="shared" si="6"/>
        <v>2.5733248897643906</v>
      </c>
    </row>
    <row r="71" spans="5:16" x14ac:dyDescent="0.25">
      <c r="E71" s="35">
        <v>-0.57919096796215896</v>
      </c>
      <c r="F71" s="34">
        <f t="shared" si="5"/>
        <v>0.33546217736894263</v>
      </c>
      <c r="G71" s="34">
        <f t="shared" si="6"/>
        <v>7.4679991173074258</v>
      </c>
    </row>
    <row r="72" spans="5:16" x14ac:dyDescent="0.25">
      <c r="E72" s="35">
        <v>-3.3657200160577059</v>
      </c>
      <c r="F72" s="34">
        <f t="shared" si="5"/>
        <v>11.328071226491485</v>
      </c>
      <c r="G72" s="34">
        <f t="shared" si="6"/>
        <v>7.7647441358802745</v>
      </c>
    </row>
    <row r="73" spans="5:16" x14ac:dyDescent="0.25">
      <c r="E73" s="35">
        <v>2.1144225636100682</v>
      </c>
      <c r="F73" s="34">
        <f t="shared" si="5"/>
        <v>4.4707827775033726</v>
      </c>
      <c r="G73" s="34">
        <f t="shared" si="6"/>
        <v>30.031962693487767</v>
      </c>
    </row>
    <row r="74" spans="5:16" x14ac:dyDescent="0.25">
      <c r="E74" s="35">
        <v>-1.4008455174315042</v>
      </c>
      <c r="F74" s="34">
        <f t="shared" si="5"/>
        <v>1.9623681637079387</v>
      </c>
      <c r="G74" s="34">
        <f t="shared" si="6"/>
        <v>12.3571096815897</v>
      </c>
    </row>
    <row r="75" spans="5:16" x14ac:dyDescent="0.25">
      <c r="E75" s="35">
        <v>-1.2414217894185775</v>
      </c>
      <c r="F75" s="34">
        <f t="shared" si="5"/>
        <v>1.541128059243223</v>
      </c>
      <c r="G75" s="34">
        <f t="shared" si="6"/>
        <v>2.541592505353963E-2</v>
      </c>
    </row>
    <row r="76" spans="5:16" x14ac:dyDescent="0.25">
      <c r="E76" s="35">
        <v>0.41593751006962876</v>
      </c>
      <c r="F76" s="34">
        <f t="shared" si="5"/>
        <v>0.17300401228292253</v>
      </c>
      <c r="G76" s="34">
        <f t="shared" si="6"/>
        <v>2.7468398476000377</v>
      </c>
      <c r="I76" s="26" t="s">
        <v>115</v>
      </c>
      <c r="J76" s="26"/>
      <c r="K76" s="26"/>
      <c r="L76" s="26"/>
      <c r="M76" s="26"/>
      <c r="N76" s="26"/>
      <c r="O76" s="26"/>
      <c r="P76" s="26"/>
    </row>
    <row r="77" spans="5:16" x14ac:dyDescent="0.25">
      <c r="E77" s="35">
        <v>-3.8039941667544754</v>
      </c>
      <c r="F77" s="34">
        <f t="shared" si="5"/>
        <v>14.470371620702076</v>
      </c>
      <c r="G77" s="34">
        <f t="shared" si="6"/>
        <v>17.807823357063494</v>
      </c>
    </row>
    <row r="81" spans="3:3" x14ac:dyDescent="0.25">
      <c r="C81" t="s">
        <v>114</v>
      </c>
    </row>
  </sheetData>
  <sortState xmlns:xlrd2="http://schemas.microsoft.com/office/spreadsheetml/2017/richdata2" ref="H4:H7">
    <sortCondition ref="H4"/>
  </sortState>
  <mergeCells count="5">
    <mergeCell ref="D1:N1"/>
    <mergeCell ref="D2:N2"/>
    <mergeCell ref="D29:N29"/>
    <mergeCell ref="D47:N47"/>
    <mergeCell ref="I76:P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Desempeño_Equipos_FutAme</vt:lpstr>
      <vt:lpstr>Modelos_Linealizables</vt:lpstr>
      <vt:lpstr>DatosAtipicos_RegresionOrigen</vt:lpstr>
      <vt:lpstr>Supuestos_Modelo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 León</dc:creator>
  <cp:lastModifiedBy>Jennifer De León</cp:lastModifiedBy>
  <dcterms:created xsi:type="dcterms:W3CDTF">2021-07-02T18:25:53Z</dcterms:created>
  <dcterms:modified xsi:type="dcterms:W3CDTF">2021-07-02T22:44:22Z</dcterms:modified>
</cp:coreProperties>
</file>