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usuario\Documents\Metodos Estadisticos\Estadistica no paramétrica\"/>
    </mc:Choice>
  </mc:AlternateContent>
  <xr:revisionPtr revIDLastSave="0" documentId="13_ncr:1_{D0099D30-4BBD-4652-883B-2EE0261E0D90}" xr6:coauthVersionLast="47" xr6:coauthVersionMax="47" xr10:uidLastSave="{00000000-0000-0000-0000-000000000000}"/>
  <bookViews>
    <workbookView xWindow="-120" yWindow="-120" windowWidth="20730" windowHeight="11160" tabRatio="794" firstSheet="20" activeTab="25" xr2:uid="{00000000-000D-0000-FFFF-FFFF00000000}"/>
  </bookViews>
  <sheets>
    <sheet name="CintaAlgodon" sheetId="6" r:id="rId1"/>
    <sheet name="Prueba de signo.CintaAlgodon" sheetId="14" r:id="rId2"/>
    <sheet name="Rangos Wilcoxon.CintaAlgodon" sheetId="21" r:id="rId3"/>
    <sheet name="FusiblesDefectuosos" sheetId="8" r:id="rId4"/>
    <sheet name="Prueba de signo.FusiblesDefectu" sheetId="15" r:id="rId5"/>
    <sheet name="Rangos Wilcoxon.Fusibles" sheetId="18" r:id="rId6"/>
    <sheet name="RendimientoGasolina" sheetId="9" r:id="rId7"/>
    <sheet name="Muestra grande.RendGasolina" sheetId="16" r:id="rId8"/>
    <sheet name="Rangos Wilcoxon.RendGasolina" sheetId="20" r:id="rId9"/>
    <sheet name="Hoja3" sheetId="29" r:id="rId10"/>
    <sheet name="Cojinetes" sheetId="10" r:id="rId11"/>
    <sheet name="Muestra grande.Cojinetes" sheetId="17" r:id="rId12"/>
    <sheet name="Rangos Wilcoxon.Cojinetes" sheetId="22" r:id="rId13"/>
    <sheet name="EmisionIndustrial" sheetId="7" r:id="rId14"/>
    <sheet name="Empleados" sheetId="4" r:id="rId15"/>
    <sheet name="Salario" sheetId="3" r:id="rId16"/>
    <sheet name="Enfermeras" sheetId="5" r:id="rId17"/>
    <sheet name="MANN-WHITNEY.Enfermeras" sheetId="24" r:id="rId18"/>
    <sheet name="Gripes" sheetId="11" r:id="rId19"/>
    <sheet name="MANN-WHITNEY.Gripes" sheetId="25" r:id="rId20"/>
    <sheet name="Kruskall-Wallis.Gripes" sheetId="26" r:id="rId21"/>
    <sheet name="Fauna" sheetId="12" r:id="rId22"/>
    <sheet name="Bonos" sheetId="2" r:id="rId23"/>
    <sheet name="Hoja2" sheetId="28" r:id="rId24"/>
    <sheet name="CentralTelefonica" sheetId="1" r:id="rId25"/>
    <sheet name="Bondad de ajuste.CentralTelefon" sheetId="27" r:id="rId26"/>
    <sheet name="EstandarResistencia" sheetId="13" r:id="rId2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26" l="1"/>
  <c r="G21" i="26"/>
  <c r="D4" i="18" l="1"/>
  <c r="H16" i="29"/>
  <c r="E13" i="29"/>
  <c r="G22" i="29"/>
  <c r="F17" i="29"/>
  <c r="F18" i="29" s="1"/>
  <c r="F19" i="29" s="1"/>
  <c r="F20" i="29" s="1"/>
  <c r="F21" i="29" s="1"/>
  <c r="F16" i="29"/>
  <c r="E17" i="29" s="1"/>
  <c r="E19" i="29" l="1"/>
  <c r="E18" i="29"/>
  <c r="E20" i="29" l="1"/>
  <c r="E21" i="29" l="1"/>
  <c r="O34" i="27"/>
  <c r="C24" i="27"/>
  <c r="C25" i="27"/>
  <c r="H14" i="27"/>
  <c r="B26" i="27"/>
  <c r="D4" i="27" s="1"/>
  <c r="E4" i="27" s="1"/>
  <c r="C4" i="27"/>
  <c r="C5" i="27"/>
  <c r="D5" i="27" s="1"/>
  <c r="E5" i="27" s="1"/>
  <c r="C6" i="27"/>
  <c r="C7" i="27"/>
  <c r="D7" i="27" s="1"/>
  <c r="E7" i="27" s="1"/>
  <c r="C8" i="27"/>
  <c r="C9" i="27"/>
  <c r="D9" i="27" s="1"/>
  <c r="E9" i="27" s="1"/>
  <c r="C10" i="27"/>
  <c r="C11" i="27"/>
  <c r="D11" i="27" s="1"/>
  <c r="E11" i="27" s="1"/>
  <c r="C12" i="27"/>
  <c r="C13" i="27"/>
  <c r="D13" i="27" s="1"/>
  <c r="E13" i="27" s="1"/>
  <c r="C14" i="27"/>
  <c r="C15" i="27"/>
  <c r="D15" i="27" s="1"/>
  <c r="E15" i="27" s="1"/>
  <c r="C16" i="27"/>
  <c r="C17" i="27"/>
  <c r="D17" i="27" s="1"/>
  <c r="E17" i="27" s="1"/>
  <c r="C18" i="27"/>
  <c r="C19" i="27"/>
  <c r="D19" i="27" s="1"/>
  <c r="E19" i="27" s="1"/>
  <c r="C20" i="27"/>
  <c r="C21" i="27"/>
  <c r="D21" i="27" s="1"/>
  <c r="E21" i="27" s="1"/>
  <c r="C22" i="27"/>
  <c r="C23" i="27"/>
  <c r="D23" i="27" s="1"/>
  <c r="E23" i="27" s="1"/>
  <c r="C3" i="27"/>
  <c r="D3" i="27" s="1"/>
  <c r="H18" i="26"/>
  <c r="H19" i="26"/>
  <c r="H17" i="26"/>
  <c r="G19" i="26"/>
  <c r="G18" i="26"/>
  <c r="G17" i="26"/>
  <c r="F21" i="25"/>
  <c r="F15" i="25"/>
  <c r="F16" i="25" s="1"/>
  <c r="H24" i="24"/>
  <c r="H23" i="24"/>
  <c r="H22" i="24"/>
  <c r="H21" i="24"/>
  <c r="H13" i="24"/>
  <c r="H4" i="24"/>
  <c r="H21" i="22"/>
  <c r="H18" i="22"/>
  <c r="H17" i="22"/>
  <c r="H13" i="22"/>
  <c r="H12" i="22"/>
  <c r="H8" i="22"/>
  <c r="C25" i="22"/>
  <c r="D25" i="22" s="1"/>
  <c r="C20" i="22"/>
  <c r="D20" i="22" s="1"/>
  <c r="C8" i="22"/>
  <c r="D8" i="22" s="1"/>
  <c r="C31" i="22"/>
  <c r="D31" i="22" s="1"/>
  <c r="C14" i="22"/>
  <c r="D14" i="22" s="1"/>
  <c r="C39" i="22"/>
  <c r="D39" i="22" s="1"/>
  <c r="C4" i="22"/>
  <c r="D4" i="22" s="1"/>
  <c r="C36" i="22"/>
  <c r="D36" i="22" s="1"/>
  <c r="C42" i="22"/>
  <c r="D42" i="22" s="1"/>
  <c r="C13" i="22"/>
  <c r="D13" i="22" s="1"/>
  <c r="C12" i="22"/>
  <c r="D12" i="22" s="1"/>
  <c r="C26" i="22"/>
  <c r="D26" i="22" s="1"/>
  <c r="C27" i="22"/>
  <c r="D27" i="22" s="1"/>
  <c r="C5" i="22"/>
  <c r="D5" i="22" s="1"/>
  <c r="C37" i="22"/>
  <c r="D37" i="22" s="1"/>
  <c r="C32" i="22"/>
  <c r="D32" i="22" s="1"/>
  <c r="C35" i="22"/>
  <c r="D35" i="22" s="1"/>
  <c r="C15" i="22"/>
  <c r="D15" i="22" s="1"/>
  <c r="C10" i="22"/>
  <c r="D10" i="22" s="1"/>
  <c r="C22" i="22"/>
  <c r="D22" i="22" s="1"/>
  <c r="C16" i="22"/>
  <c r="D16" i="22" s="1"/>
  <c r="C29" i="22"/>
  <c r="D29" i="22" s="1"/>
  <c r="C17" i="22"/>
  <c r="D17" i="22" s="1"/>
  <c r="C28" i="22"/>
  <c r="D28" i="22" s="1"/>
  <c r="C21" i="22"/>
  <c r="D21" i="22" s="1"/>
  <c r="C7" i="22"/>
  <c r="D7" i="22" s="1"/>
  <c r="C11" i="22"/>
  <c r="D11" i="22" s="1"/>
  <c r="C6" i="22"/>
  <c r="D6" i="22" s="1"/>
  <c r="C18" i="22"/>
  <c r="D18" i="22" s="1"/>
  <c r="C33" i="22"/>
  <c r="D33" i="22" s="1"/>
  <c r="C40" i="22"/>
  <c r="D40" i="22" s="1"/>
  <c r="C23" i="22"/>
  <c r="D23" i="22" s="1"/>
  <c r="C19" i="22"/>
  <c r="D19" i="22" s="1"/>
  <c r="C9" i="22"/>
  <c r="D9" i="22" s="1"/>
  <c r="C41" i="22"/>
  <c r="D41" i="22" s="1"/>
  <c r="C38" i="22"/>
  <c r="D38" i="22" s="1"/>
  <c r="C30" i="22"/>
  <c r="D30" i="22" s="1"/>
  <c r="C24" i="22"/>
  <c r="D24" i="22" s="1"/>
  <c r="C3" i="22"/>
  <c r="D3" i="22" s="1"/>
  <c r="C34" i="22"/>
  <c r="D34" i="22" s="1"/>
  <c r="G17" i="20"/>
  <c r="G18" i="20" s="1"/>
  <c r="G12" i="20"/>
  <c r="I9" i="18"/>
  <c r="I8" i="18"/>
  <c r="D6" i="18"/>
  <c r="E6" i="18" s="1"/>
  <c r="D13" i="18"/>
  <c r="E13" i="18" s="1"/>
  <c r="D9" i="18"/>
  <c r="E9" i="18" s="1"/>
  <c r="D11" i="18"/>
  <c r="E11" i="18" s="1"/>
  <c r="D5" i="18"/>
  <c r="E5" i="18" s="1"/>
  <c r="D12" i="18"/>
  <c r="E12" i="18" s="1"/>
  <c r="D7" i="18"/>
  <c r="E7" i="18" s="1"/>
  <c r="D10" i="18"/>
  <c r="E10" i="18" s="1"/>
  <c r="D8" i="18"/>
  <c r="E8" i="18" s="1"/>
  <c r="E4" i="18"/>
  <c r="B3" i="21"/>
  <c r="E3" i="27" l="1"/>
  <c r="D24" i="27"/>
  <c r="E24" i="27" s="1"/>
  <c r="D16" i="27"/>
  <c r="E16" i="27" s="1"/>
  <c r="D8" i="27"/>
  <c r="E8" i="27" s="1"/>
  <c r="D22" i="27"/>
  <c r="E22" i="27" s="1"/>
  <c r="D18" i="27"/>
  <c r="E18" i="27" s="1"/>
  <c r="D14" i="27"/>
  <c r="E14" i="27" s="1"/>
  <c r="D10" i="27"/>
  <c r="E10" i="27" s="1"/>
  <c r="D6" i="27"/>
  <c r="E6" i="27" s="1"/>
  <c r="K24" i="27"/>
  <c r="D25" i="27"/>
  <c r="E25" i="27" s="1"/>
  <c r="D20" i="27"/>
  <c r="E20" i="27" s="1"/>
  <c r="D12" i="27"/>
  <c r="E12" i="27" s="1"/>
  <c r="H8" i="27"/>
  <c r="C26" i="27"/>
  <c r="H9" i="22"/>
  <c r="G5" i="21"/>
  <c r="G4" i="21"/>
  <c r="G13" i="21" s="1"/>
  <c r="B13" i="21"/>
  <c r="C13" i="21" s="1"/>
  <c r="B7" i="21"/>
  <c r="C7" i="21" s="1"/>
  <c r="B22" i="21"/>
  <c r="C22" i="21" s="1"/>
  <c r="B8" i="21"/>
  <c r="C8" i="21" s="1"/>
  <c r="B17" i="21"/>
  <c r="C17" i="21" s="1"/>
  <c r="B6" i="21"/>
  <c r="C6" i="21" s="1"/>
  <c r="B5" i="21"/>
  <c r="C5" i="21" s="1"/>
  <c r="B16" i="21"/>
  <c r="C16" i="21" s="1"/>
  <c r="B9" i="21"/>
  <c r="C9" i="21" s="1"/>
  <c r="B11" i="21"/>
  <c r="C11" i="21" s="1"/>
  <c r="C3" i="21"/>
  <c r="B18" i="21"/>
  <c r="C18" i="21" s="1"/>
  <c r="B14" i="21"/>
  <c r="C14" i="21" s="1"/>
  <c r="B4" i="21"/>
  <c r="C4" i="21" s="1"/>
  <c r="B15" i="21"/>
  <c r="C15" i="21" s="1"/>
  <c r="B19" i="21"/>
  <c r="C19" i="21" s="1"/>
  <c r="B12" i="21"/>
  <c r="C12" i="21" s="1"/>
  <c r="B21" i="21"/>
  <c r="C21" i="21" s="1"/>
  <c r="B20" i="21"/>
  <c r="C20" i="21" s="1"/>
  <c r="B10" i="21"/>
  <c r="C10" i="21" s="1"/>
  <c r="G22" i="20"/>
  <c r="G11" i="20"/>
  <c r="G14" i="20"/>
  <c r="G13" i="20"/>
  <c r="G10" i="20"/>
  <c r="B33" i="20"/>
  <c r="C33" i="20" s="1"/>
  <c r="B30" i="20"/>
  <c r="C30" i="20" s="1"/>
  <c r="B16" i="20"/>
  <c r="C16" i="20" s="1"/>
  <c r="B13" i="20"/>
  <c r="C13" i="20" s="1"/>
  <c r="B39" i="20"/>
  <c r="C39" i="20" s="1"/>
  <c r="B14" i="20"/>
  <c r="C14" i="20" s="1"/>
  <c r="B4" i="20"/>
  <c r="C4" i="20" s="1"/>
  <c r="B21" i="20"/>
  <c r="C21" i="20" s="1"/>
  <c r="B19" i="20"/>
  <c r="C19" i="20" s="1"/>
  <c r="B22" i="20"/>
  <c r="C22" i="20" s="1"/>
  <c r="B17" i="20"/>
  <c r="C17" i="20" s="1"/>
  <c r="B7" i="20"/>
  <c r="C7" i="20" s="1"/>
  <c r="B5" i="20"/>
  <c r="C5" i="20" s="1"/>
  <c r="B6" i="20"/>
  <c r="C6" i="20" s="1"/>
  <c r="B40" i="20"/>
  <c r="C40" i="20" s="1"/>
  <c r="B23" i="20"/>
  <c r="C23" i="20" s="1"/>
  <c r="B25" i="20"/>
  <c r="C25" i="20" s="1"/>
  <c r="B8" i="20"/>
  <c r="C8" i="20" s="1"/>
  <c r="B36" i="20"/>
  <c r="C36" i="20" s="1"/>
  <c r="B37" i="20"/>
  <c r="C37" i="20" s="1"/>
  <c r="B20" i="20"/>
  <c r="C20" i="20" s="1"/>
  <c r="B28" i="20"/>
  <c r="C28" i="20" s="1"/>
  <c r="B10" i="20"/>
  <c r="C10" i="20" s="1"/>
  <c r="B26" i="20"/>
  <c r="C26" i="20" s="1"/>
  <c r="B32" i="20"/>
  <c r="C32" i="20" s="1"/>
  <c r="B11" i="20"/>
  <c r="C11" i="20" s="1"/>
  <c r="B42" i="20"/>
  <c r="C42" i="20" s="1"/>
  <c r="B15" i="20"/>
  <c r="C15" i="20" s="1"/>
  <c r="B31" i="20"/>
  <c r="C31" i="20" s="1"/>
  <c r="B12" i="20"/>
  <c r="C12" i="20" s="1"/>
  <c r="B41" i="20"/>
  <c r="C41" i="20" s="1"/>
  <c r="B24" i="20"/>
  <c r="C24" i="20" s="1"/>
  <c r="B35" i="20"/>
  <c r="C35" i="20" s="1"/>
  <c r="B27" i="20"/>
  <c r="C27" i="20" s="1"/>
  <c r="B18" i="20"/>
  <c r="C18" i="20" s="1"/>
  <c r="B38" i="20"/>
  <c r="C38" i="20" s="1"/>
  <c r="B29" i="20"/>
  <c r="C29" i="20" s="1"/>
  <c r="B3" i="20"/>
  <c r="C3" i="20" s="1"/>
  <c r="B34" i="20"/>
  <c r="C34" i="20" s="1"/>
  <c r="B9" i="20"/>
  <c r="C9" i="20" s="1"/>
  <c r="D4" i="15"/>
  <c r="G15" i="17"/>
  <c r="G12" i="17"/>
  <c r="G9" i="17"/>
  <c r="G8"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3" i="17"/>
  <c r="E13" i="16"/>
  <c r="E10" i="16"/>
  <c r="E7"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2" i="16"/>
  <c r="H13" i="15"/>
  <c r="H14" i="15" s="1"/>
  <c r="H15" i="15" s="1"/>
  <c r="H16" i="15" s="1"/>
  <c r="H17" i="15" s="1"/>
  <c r="H18" i="15" s="1"/>
  <c r="H19" i="15" s="1"/>
  <c r="H20" i="15" s="1"/>
  <c r="H21" i="15" s="1"/>
  <c r="H12" i="15"/>
  <c r="H11" i="15"/>
  <c r="H6" i="15"/>
  <c r="E5" i="15"/>
  <c r="E6" i="15"/>
  <c r="E7" i="15"/>
  <c r="E8" i="15"/>
  <c r="E9" i="15"/>
  <c r="E10" i="15"/>
  <c r="E11" i="15"/>
  <c r="E12" i="15"/>
  <c r="E13" i="15"/>
  <c r="E4" i="15"/>
  <c r="D5" i="15"/>
  <c r="D6" i="15"/>
  <c r="D7" i="15"/>
  <c r="D8" i="15"/>
  <c r="D9" i="15"/>
  <c r="D10" i="15"/>
  <c r="D11" i="15"/>
  <c r="D12" i="15"/>
  <c r="D13" i="15"/>
  <c r="F54" i="14"/>
  <c r="F53" i="14" s="1"/>
  <c r="F52" i="14" s="1"/>
  <c r="F51" i="14" s="1"/>
  <c r="F50" i="14" s="1"/>
  <c r="F49" i="14" s="1"/>
  <c r="F48" i="14" s="1"/>
  <c r="F47" i="14" s="1"/>
  <c r="F55" i="14"/>
  <c r="F56" i="14"/>
  <c r="D56" i="14"/>
  <c r="D49" i="14"/>
  <c r="D50" i="14" s="1"/>
  <c r="D51" i="14" s="1"/>
  <c r="D52" i="14" s="1"/>
  <c r="D53" i="14" s="1"/>
  <c r="D54" i="14" s="1"/>
  <c r="D55" i="14" s="1"/>
  <c r="D48" i="14"/>
  <c r="B39" i="14"/>
  <c r="B40" i="14"/>
  <c r="B41" i="14"/>
  <c r="B58" i="14" s="1"/>
  <c r="B42" i="14"/>
  <c r="B43" i="14"/>
  <c r="B44" i="14"/>
  <c r="B45" i="14"/>
  <c r="B46" i="14"/>
  <c r="B47" i="14"/>
  <c r="B48" i="14"/>
  <c r="B49" i="14"/>
  <c r="B50" i="14"/>
  <c r="B51" i="14"/>
  <c r="B52" i="14"/>
  <c r="B53" i="14"/>
  <c r="B54" i="14"/>
  <c r="B55" i="14"/>
  <c r="B56" i="14"/>
  <c r="B57" i="14"/>
  <c r="B38" i="14"/>
  <c r="F22" i="14"/>
  <c r="F23" i="14" s="1"/>
  <c r="F24" i="14" s="1"/>
  <c r="D22" i="14"/>
  <c r="D23" i="14" s="1"/>
  <c r="D24" i="14" s="1"/>
  <c r="F19" i="14"/>
  <c r="F20" i="14" s="1"/>
  <c r="F21" i="14" s="1"/>
  <c r="F18" i="14"/>
  <c r="F17" i="14"/>
  <c r="F16" i="14"/>
  <c r="D21" i="14"/>
  <c r="D18" i="14"/>
  <c r="D19" i="14" s="1"/>
  <c r="D20" i="14" s="1"/>
  <c r="D17" i="14"/>
  <c r="B3" i="14"/>
  <c r="B4" i="14"/>
  <c r="B5" i="14"/>
  <c r="B6" i="14"/>
  <c r="B7" i="14"/>
  <c r="B8" i="14"/>
  <c r="B9" i="14"/>
  <c r="B10" i="14"/>
  <c r="B11" i="14"/>
  <c r="B12" i="14"/>
  <c r="B13" i="14"/>
  <c r="B14" i="14"/>
  <c r="B15" i="14"/>
  <c r="B16" i="14"/>
  <c r="B17" i="14"/>
  <c r="B18" i="14"/>
  <c r="B19" i="14"/>
  <c r="B20" i="14"/>
  <c r="B21" i="14"/>
  <c r="B2" i="14"/>
  <c r="B22" i="14" s="1"/>
  <c r="I27" i="27" l="1"/>
  <c r="J27" i="27" s="1"/>
  <c r="K27" i="27" s="1"/>
  <c r="I31" i="27"/>
  <c r="J31" i="27" s="1"/>
  <c r="K31" i="27" s="1"/>
  <c r="I35" i="27"/>
  <c r="J35" i="27" s="1"/>
  <c r="K35" i="27" s="1"/>
  <c r="I39" i="27"/>
  <c r="J39" i="27" s="1"/>
  <c r="K39" i="27" s="1"/>
  <c r="I43" i="27"/>
  <c r="J43" i="27" s="1"/>
  <c r="K43" i="27" s="1"/>
  <c r="I28" i="27"/>
  <c r="J28" i="27" s="1"/>
  <c r="K28" i="27" s="1"/>
  <c r="I32" i="27"/>
  <c r="J32" i="27" s="1"/>
  <c r="K32" i="27" s="1"/>
  <c r="I36" i="27"/>
  <c r="J36" i="27" s="1"/>
  <c r="K36" i="27" s="1"/>
  <c r="I40" i="27"/>
  <c r="J40" i="27" s="1"/>
  <c r="K40" i="27" s="1"/>
  <c r="I44" i="27"/>
  <c r="J44" i="27" s="1"/>
  <c r="K44" i="27" s="1"/>
  <c r="I26" i="27"/>
  <c r="I29" i="27"/>
  <c r="J29" i="27" s="1"/>
  <c r="K29" i="27" s="1"/>
  <c r="I33" i="27"/>
  <c r="J33" i="27" s="1"/>
  <c r="K33" i="27" s="1"/>
  <c r="I37" i="27"/>
  <c r="J37" i="27" s="1"/>
  <c r="K37" i="27" s="1"/>
  <c r="I41" i="27"/>
  <c r="J41" i="27" s="1"/>
  <c r="K41" i="27" s="1"/>
  <c r="I45" i="27"/>
  <c r="J45" i="27" s="1"/>
  <c r="K45" i="27" s="1"/>
  <c r="I48" i="27"/>
  <c r="J48" i="27" s="1"/>
  <c r="K48" i="27" s="1"/>
  <c r="I30" i="27"/>
  <c r="J30" i="27" s="1"/>
  <c r="K30" i="27" s="1"/>
  <c r="I34" i="27"/>
  <c r="J34" i="27" s="1"/>
  <c r="K34" i="27" s="1"/>
  <c r="I38" i="27"/>
  <c r="J38" i="27" s="1"/>
  <c r="K38" i="27" s="1"/>
  <c r="I42" i="27"/>
  <c r="J42" i="27" s="1"/>
  <c r="K42" i="27" s="1"/>
  <c r="I46" i="27"/>
  <c r="J46" i="27" s="1"/>
  <c r="K46" i="27" s="1"/>
  <c r="I47" i="27"/>
  <c r="J47" i="27" s="1"/>
  <c r="K47" i="27" s="1"/>
  <c r="D26" i="27"/>
  <c r="J26" i="27" l="1"/>
  <c r="I49" i="27"/>
  <c r="J49" i="27" l="1"/>
  <c r="K26" i="27"/>
  <c r="K49" i="27" s="1"/>
  <c r="O28" i="27" s="1"/>
</calcChain>
</file>

<file path=xl/sharedStrings.xml><?xml version="1.0" encoding="utf-8"?>
<sst xmlns="http://schemas.openxmlformats.org/spreadsheetml/2006/main" count="477" uniqueCount="240">
  <si>
    <t>Numero ocupado</t>
  </si>
  <si>
    <t>Frecuecnia observada</t>
  </si>
  <si>
    <t>bonos seleccionados</t>
  </si>
  <si>
    <t>horas requeridas</t>
  </si>
  <si>
    <t>antes</t>
  </si>
  <si>
    <t>despues</t>
  </si>
  <si>
    <t>calificaciones</t>
  </si>
  <si>
    <t>escuela A</t>
  </si>
  <si>
    <t>escuela B</t>
  </si>
  <si>
    <t>resistencia</t>
  </si>
  <si>
    <t>toneladas oxido de azufre</t>
  </si>
  <si>
    <t>día</t>
  </si>
  <si>
    <t>linea A</t>
  </si>
  <si>
    <t>linea B</t>
  </si>
  <si>
    <t>millas por galón</t>
  </si>
  <si>
    <t>linea 1</t>
  </si>
  <si>
    <t>linea2</t>
  </si>
  <si>
    <t>victoria A</t>
  </si>
  <si>
    <t>Texas</t>
  </si>
  <si>
    <t>Rusa</t>
  </si>
  <si>
    <t>Peso de especímenes</t>
  </si>
  <si>
    <t>38°F</t>
  </si>
  <si>
    <t>42°F</t>
  </si>
  <si>
    <t>46°F</t>
  </si>
  <si>
    <t>50°F</t>
  </si>
  <si>
    <t>pasa la prueba</t>
  </si>
  <si>
    <t>falla la prueba</t>
  </si>
  <si>
    <t>A</t>
  </si>
  <si>
    <t>B</t>
  </si>
  <si>
    <t>C</t>
  </si>
  <si>
    <t>Proceso</t>
  </si>
  <si>
    <t>Hipotesis:</t>
  </si>
  <si>
    <t>H0: Prom. De resistencia = 160</t>
  </si>
  <si>
    <t>H1: Prom. De resistencia &gt; 160</t>
  </si>
  <si>
    <t>H0: p = .5</t>
  </si>
  <si>
    <t>H1: p &gt; .5</t>
  </si>
  <si>
    <t>signos</t>
  </si>
  <si>
    <t>EP</t>
  </si>
  <si>
    <t>X = 15</t>
  </si>
  <si>
    <t>Region de rechazo</t>
  </si>
  <si>
    <t>k</t>
  </si>
  <si>
    <t>SUMA</t>
  </si>
  <si>
    <t>No se considera</t>
  </si>
  <si>
    <t>P(19)</t>
  </si>
  <si>
    <t>P(19) + P(18)</t>
  </si>
  <si>
    <t>P(19) +  P(18) + P(17)</t>
  </si>
  <si>
    <t>P(19) + P(18) + P(17) + P(16)</t>
  </si>
  <si>
    <t>comparacion CON ALFA</t>
  </si>
  <si>
    <t>&lt;0.1</t>
  </si>
  <si>
    <t>Rechazo H0 si X = 15 &gt; K = 13</t>
  </si>
  <si>
    <t xml:space="preserve">Rechazo H0 </t>
  </si>
  <si>
    <t>Conclusión</t>
  </si>
  <si>
    <t>Con 90% de confianza decimos que el promedio de resistencia</t>
  </si>
  <si>
    <t>es mayor a 160</t>
  </si>
  <si>
    <t>H0: Prom. De resistencia = 180</t>
  </si>
  <si>
    <t>H1: Prom. De resistencia &lt; 180</t>
  </si>
  <si>
    <t>X = 2</t>
  </si>
  <si>
    <t>P(0)</t>
  </si>
  <si>
    <t>P(0) + P(1)</t>
  </si>
  <si>
    <t>P(0) + P(1) + P(2)</t>
  </si>
  <si>
    <t>P(0) + P(1) + P(2) + P(3)</t>
  </si>
  <si>
    <t>P(0) + P(1) + P(2) + P(3) + P(4)</t>
  </si>
  <si>
    <t xml:space="preserve">Rechazo H0 si X = 2 &lt; K = 6 </t>
  </si>
  <si>
    <t>Rechazo H0</t>
  </si>
  <si>
    <t>Dos muestras chicas</t>
  </si>
  <si>
    <t>diferencias</t>
  </si>
  <si>
    <t>Al no haber empate, n se mantiene igual (n=10)</t>
  </si>
  <si>
    <t>M</t>
  </si>
  <si>
    <t>Región de rechazo</t>
  </si>
  <si>
    <t>K</t>
  </si>
  <si>
    <t>Suma de prob.</t>
  </si>
  <si>
    <t>Comp. Con alfa</t>
  </si>
  <si>
    <t>&lt;.05</t>
  </si>
  <si>
    <t>Rechazo H0 si M = 2 &lt; K = 1</t>
  </si>
  <si>
    <t>No rechazo H0</t>
  </si>
  <si>
    <t>Con 95% de confianza, decimos que la evidencia</t>
  </si>
  <si>
    <t>no apoya que el promedio de piezas defectuosas</t>
  </si>
  <si>
    <t>sea mayor en la linea B</t>
  </si>
  <si>
    <t>Hipótesis</t>
  </si>
  <si>
    <t>H0: Prom de rendimiento de milla/galon = 24.2</t>
  </si>
  <si>
    <t>H1: Prom de rendimiento de milla/galon &lt; 24.2</t>
  </si>
  <si>
    <t>X</t>
  </si>
  <si>
    <t>n</t>
  </si>
  <si>
    <t>p</t>
  </si>
  <si>
    <t>Z</t>
  </si>
  <si>
    <t>Z inversa</t>
  </si>
  <si>
    <t>Rechazo H0 si 2.79 &lt; -1.64</t>
  </si>
  <si>
    <t>Con 95% de confianza decimos que</t>
  </si>
  <si>
    <t>el rendimiento de la gasolina no es menor</t>
  </si>
  <si>
    <t>a 24.2</t>
  </si>
  <si>
    <t>H0: Prom de diametro es el mismo en ambas lineas</t>
  </si>
  <si>
    <t>diferencia</t>
  </si>
  <si>
    <t>signo</t>
  </si>
  <si>
    <t xml:space="preserve">teta </t>
  </si>
  <si>
    <t>alfa</t>
  </si>
  <si>
    <t xml:space="preserve"> Z inversa</t>
  </si>
  <si>
    <t>H1: Prom. De diametro linea 1 &lt; linea 2</t>
  </si>
  <si>
    <t>Rechazo H0 si -1.33 &lt; -2.32</t>
  </si>
  <si>
    <t>Con un 99% de confianza decimos que</t>
  </si>
  <si>
    <t xml:space="preserve">no existe evidencia para decir que el promedio </t>
  </si>
  <si>
    <t>de los diametros de la linea 2 sea mayor al</t>
  </si>
  <si>
    <t>de la linea 1</t>
  </si>
  <si>
    <t>Sumas de rango con muestras pequeñas</t>
  </si>
  <si>
    <t>rango</t>
  </si>
  <si>
    <t>Hipotesis</t>
  </si>
  <si>
    <t>A se localiza a la izquierda de B</t>
  </si>
  <si>
    <t>Conclusion</t>
  </si>
  <si>
    <t>prom</t>
  </si>
  <si>
    <t>T-</t>
  </si>
  <si>
    <t>T+</t>
  </si>
  <si>
    <t>MIN T- y T+</t>
  </si>
  <si>
    <t>MEDIA</t>
  </si>
  <si>
    <t>VARIANZA</t>
  </si>
  <si>
    <t>raiz</t>
  </si>
  <si>
    <t>Z alfa/2</t>
  </si>
  <si>
    <t>Calificacion</t>
  </si>
  <si>
    <t>escuela</t>
  </si>
  <si>
    <t>W</t>
  </si>
  <si>
    <t>U</t>
  </si>
  <si>
    <t>E(U)</t>
  </si>
  <si>
    <t>Var(U)</t>
  </si>
  <si>
    <t>Ztabla</t>
  </si>
  <si>
    <t xml:space="preserve">alfa </t>
  </si>
  <si>
    <t>promedio Texas es menor que la victoria</t>
  </si>
  <si>
    <t>V</t>
  </si>
  <si>
    <t>T</t>
  </si>
  <si>
    <t>tiempo</t>
  </si>
  <si>
    <t>gripe</t>
  </si>
  <si>
    <t>muestra 1</t>
  </si>
  <si>
    <t>U0</t>
  </si>
  <si>
    <t>gripa</t>
  </si>
  <si>
    <t>R</t>
  </si>
  <si>
    <t>H1: resistencia prom &gt; 160</t>
  </si>
  <si>
    <t>H0: resistencia prom = 160</t>
  </si>
  <si>
    <t>X esta a la derecha (que es la resist. Prom.)</t>
  </si>
  <si>
    <t>valor absoluto</t>
  </si>
  <si>
    <t xml:space="preserve">T0 </t>
  </si>
  <si>
    <t>promedio</t>
  </si>
  <si>
    <t>valor abs</t>
  </si>
  <si>
    <t>Rechazo H0 si 44 &lt;  38</t>
  </si>
  <si>
    <t>α</t>
  </si>
  <si>
    <t>Con un 99% de confianza, decimos que no hay evidencia</t>
  </si>
  <si>
    <t>suficiente para decir que el promedio de resistencia</t>
  </si>
  <si>
    <t>sea mayor a 160</t>
  </si>
  <si>
    <t>H1: promedio A &lt; promedio B</t>
  </si>
  <si>
    <t>H0:  promedio A = promedio B</t>
  </si>
  <si>
    <t>T0</t>
  </si>
  <si>
    <t>Rechazo H0 si 13 &lt; 11</t>
  </si>
  <si>
    <t>prueba unilateral</t>
  </si>
  <si>
    <t>Con 95% de confianza, decimos que no</t>
  </si>
  <si>
    <t xml:space="preserve">hay evidencia para decir que el promedio </t>
  </si>
  <si>
    <t>de la linea B sea mayor al de la linea A</t>
  </si>
  <si>
    <t>Suma de rangos muestra pequeña</t>
  </si>
  <si>
    <t>Suma de rangos muestra grande</t>
  </si>
  <si>
    <t>H0: rendimiento = 24.2</t>
  </si>
  <si>
    <t>Ha: rendimiento ≠ 24.2</t>
  </si>
  <si>
    <t>si -3.42 &gt;1.95</t>
  </si>
  <si>
    <t xml:space="preserve">Rechazo H0 si -3.42 &lt; -1.95 o </t>
  </si>
  <si>
    <t>Con 95% de confianza, decimos que</t>
  </si>
  <si>
    <t>el rendimiento es diferente a 24.2</t>
  </si>
  <si>
    <t>Muestra grande</t>
  </si>
  <si>
    <t>H0: promedio 1 = promedio 2</t>
  </si>
  <si>
    <t>H1: promedio 1 ≠ promedio 2</t>
  </si>
  <si>
    <t>Rechazo H0 si -1.16 &gt; 2.57</t>
  </si>
  <si>
    <t>o si -1.16 &lt; -2.57</t>
  </si>
  <si>
    <t>con un 99% de confianza, decimos que no hay</t>
  </si>
  <si>
    <t>evidencia para afirmar que el promedio de</t>
  </si>
  <si>
    <t>ambas lineas sea diferente</t>
  </si>
  <si>
    <t>muestra pequeña</t>
  </si>
  <si>
    <t>Muestra 1</t>
  </si>
  <si>
    <t>H0: Promedio escuela A = Promedio escuela B</t>
  </si>
  <si>
    <t>H1: Promedio escuela A ≠ Promedio escuela B</t>
  </si>
  <si>
    <t>n1</t>
  </si>
  <si>
    <t>n2</t>
  </si>
  <si>
    <t xml:space="preserve">U0 </t>
  </si>
  <si>
    <t>?</t>
  </si>
  <si>
    <t>Rechazo H0 si 74.5 &gt; 11*13 - U0</t>
  </si>
  <si>
    <t>Rechazo H0 si .17 &gt; 1.64</t>
  </si>
  <si>
    <t>o si .17 &lt; -1.64</t>
  </si>
  <si>
    <t xml:space="preserve">Con un 90% de confianza, decimos que </t>
  </si>
  <si>
    <t xml:space="preserve">no hay evidencia suficiente para </t>
  </si>
  <si>
    <t>afirmar que el promedio de ambas escuelas</t>
  </si>
  <si>
    <t>difieran</t>
  </si>
  <si>
    <t>2 muestras</t>
  </si>
  <si>
    <t>comparacion de tipos de gripe</t>
  </si>
  <si>
    <t>H0: tiempo Victoria A = tiempo Texas</t>
  </si>
  <si>
    <t>Ha: tiempo Victoria A &gt; tiempo Texas</t>
  </si>
  <si>
    <t>n1*n2 - U0</t>
  </si>
  <si>
    <t>Rechazo H0 si 34.5 &gt; 48</t>
  </si>
  <si>
    <t xml:space="preserve">Con 99% de confianza decimos que el tiempo </t>
  </si>
  <si>
    <t>de Texas</t>
  </si>
  <si>
    <t>promedio de Victoria A no es mayor al tiempo promedio</t>
  </si>
  <si>
    <t>poblacion 1</t>
  </si>
  <si>
    <t>o 74.5 &lt; U0</t>
  </si>
  <si>
    <t>los valores de n1 y n2 son grandes,</t>
  </si>
  <si>
    <t>asi que usamos Z</t>
  </si>
  <si>
    <t>H0: Las medias de los tiempos son iguales</t>
  </si>
  <si>
    <t>Ha: Las medias difieren</t>
  </si>
  <si>
    <t>R1^2</t>
  </si>
  <si>
    <t>R2^2</t>
  </si>
  <si>
    <t>R3^3</t>
  </si>
  <si>
    <t>n3</t>
  </si>
  <si>
    <t>probabilidad</t>
  </si>
  <si>
    <t>frecuencia esperada</t>
  </si>
  <si>
    <t>H0: los datos provienen de una dist. Poisson(8.5)</t>
  </si>
  <si>
    <t>Ha: los datos provienen de alguna otra distribucion</t>
  </si>
  <si>
    <t>cociente</t>
  </si>
  <si>
    <t>Region rechazo</t>
  </si>
  <si>
    <t>X2 tabla</t>
  </si>
  <si>
    <t>Rechazo H0 si 2134 &gt; 33.9</t>
  </si>
  <si>
    <t>los datos no provienen de una dist poisson(8.5)</t>
  </si>
  <si>
    <t>con 95% sde confianza</t>
  </si>
  <si>
    <t>t</t>
  </si>
  <si>
    <t>REVISEMOS SI, MINIMO, ES DIST POISSON</t>
  </si>
  <si>
    <t>lambda</t>
  </si>
  <si>
    <t>H0: los datos provienen de una poblacion con distr poisson</t>
  </si>
  <si>
    <t xml:space="preserve">H1: los datos provienen de alguna otra distr </t>
  </si>
  <si>
    <t>X2 de tabla</t>
  </si>
  <si>
    <t>Rechazo H0 si 45.47 &gt; 32.67</t>
  </si>
  <si>
    <t>Con 95% de confianza los datos</t>
  </si>
  <si>
    <t>no provienen de distr. Poisson</t>
  </si>
  <si>
    <t>.</t>
  </si>
  <si>
    <t>discreta</t>
  </si>
  <si>
    <t>H0: datos provienen de dist discreta</t>
  </si>
  <si>
    <t>H0: los datos provienen de una distr normal media 24.2</t>
  </si>
  <si>
    <t>estimaciones</t>
  </si>
  <si>
    <t>clase</t>
  </si>
  <si>
    <t>ancho de clases</t>
  </si>
  <si>
    <t>clases</t>
  </si>
  <si>
    <t>Li</t>
  </si>
  <si>
    <t>Ls</t>
  </si>
  <si>
    <t>frecuencia obs</t>
  </si>
  <si>
    <t>media</t>
  </si>
  <si>
    <t>desv. Est</t>
  </si>
  <si>
    <t>No es necesario ordenar los datos antes de la diferencia</t>
  </si>
  <si>
    <t>H</t>
  </si>
  <si>
    <t>X2</t>
  </si>
  <si>
    <t>Rechazo H0 si 6.58 &gt; 5.99</t>
  </si>
  <si>
    <t xml:space="preserve">Con 95% de confianza decimos que </t>
  </si>
  <si>
    <t>las medias difieren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</si>
</sst>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
      <patternFill patternType="solid">
        <fgColor rgb="FF00FF00"/>
        <bgColor indexed="64"/>
      </patternFill>
    </fill>
    <fill>
      <patternFill patternType="solid">
        <fgColor rgb="FF00B0F0"/>
        <bgColor indexed="64"/>
      </patternFill>
    </fill>
  </fills>
  <borders count="11">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5">
    <xf numFmtId="0" fontId="0" fillId="0" borderId="0" xfId="0"/>
    <xf numFmtId="0" fontId="0" fillId="0" borderId="1" xfId="0" applyBorder="1"/>
    <xf numFmtId="0" fontId="0" fillId="0" borderId="2" xfId="0" applyBorder="1"/>
    <xf numFmtId="0" fontId="0" fillId="0" borderId="3" xfId="0" applyBorder="1"/>
    <xf numFmtId="0" fontId="0" fillId="2" borderId="0" xfId="0" applyFill="1"/>
    <xf numFmtId="0" fontId="0" fillId="0" borderId="4" xfId="0" applyBorder="1"/>
    <xf numFmtId="0" fontId="0" fillId="0" borderId="4" xfId="0" applyBorder="1" applyAlignment="1">
      <alignment horizontal="center"/>
    </xf>
    <xf numFmtId="0" fontId="0" fillId="3" borderId="4" xfId="0" applyFill="1" applyBorder="1" applyAlignment="1">
      <alignment horizontal="center"/>
    </xf>
    <xf numFmtId="0" fontId="0" fillId="2"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1" xfId="0" applyFill="1" applyBorder="1"/>
    <xf numFmtId="0" fontId="0" fillId="4" borderId="3" xfId="0" applyFill="1" applyBorder="1"/>
    <xf numFmtId="0" fontId="0" fillId="5" borderId="0" xfId="0" applyFill="1"/>
    <xf numFmtId="0" fontId="0" fillId="0" borderId="0" xfId="0" applyFill="1"/>
    <xf numFmtId="0" fontId="0" fillId="4" borderId="0" xfId="0" applyFill="1"/>
    <xf numFmtId="0" fontId="0" fillId="6" borderId="0" xfId="0" applyFill="1"/>
    <xf numFmtId="0" fontId="0" fillId="8" borderId="4" xfId="0" applyFill="1" applyBorder="1" applyAlignment="1">
      <alignment horizontal="center" vertical="center"/>
    </xf>
    <xf numFmtId="0" fontId="0" fillId="8" borderId="4" xfId="0" applyFill="1" applyBorder="1" applyAlignment="1">
      <alignment horizontal="center" vertical="center" wrapText="1"/>
    </xf>
    <xf numFmtId="0" fontId="0" fillId="0" borderId="0" xfId="0" applyFill="1" applyBorder="1"/>
    <xf numFmtId="0" fontId="0" fillId="0" borderId="4" xfId="0" applyFill="1" applyBorder="1"/>
    <xf numFmtId="0" fontId="0" fillId="4" borderId="0" xfId="0" applyFill="1" applyAlignment="1"/>
    <xf numFmtId="0" fontId="0" fillId="8" borderId="4" xfId="0" applyFill="1" applyBorder="1" applyAlignment="1">
      <alignment horizontal="center"/>
    </xf>
    <xf numFmtId="0" fontId="0" fillId="7" borderId="0" xfId="0" applyFill="1"/>
    <xf numFmtId="0" fontId="2" fillId="4" borderId="0" xfId="0" applyFont="1" applyFill="1"/>
    <xf numFmtId="0" fontId="0" fillId="0" borderId="9" xfId="0" applyBorder="1"/>
    <xf numFmtId="0" fontId="0" fillId="0" borderId="10" xfId="0" applyBorder="1"/>
    <xf numFmtId="0" fontId="0" fillId="4" borderId="4" xfId="0" applyFill="1" applyBorder="1"/>
    <xf numFmtId="0" fontId="2" fillId="7" borderId="0" xfId="0" applyFont="1" applyFill="1"/>
    <xf numFmtId="0" fontId="0" fillId="4" borderId="0" xfId="0" applyFill="1" applyBorder="1"/>
    <xf numFmtId="0" fontId="0" fillId="5" borderId="0" xfId="0" applyFill="1" applyBorder="1"/>
    <xf numFmtId="0" fontId="0" fillId="0" borderId="0" xfId="0" applyAlignment="1">
      <alignment horizont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10/relationships/person" Target="persons/person.xml"/></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266700</xdr:colOff>
      <xdr:row>1</xdr:row>
      <xdr:rowOff>95250</xdr:rowOff>
    </xdr:from>
    <xdr:to>
      <xdr:col>7</xdr:col>
      <xdr:colOff>619125</xdr:colOff>
      <xdr:row>7</xdr:row>
      <xdr:rowOff>171450</xdr:rowOff>
    </xdr:to>
    <xdr:sp macro="" textlink="">
      <xdr:nvSpPr>
        <xdr:cNvPr id="2" name="CuadroTexto 1">
          <a:extLst>
            <a:ext uri="{FF2B5EF4-FFF2-40B4-BE49-F238E27FC236}">
              <a16:creationId xmlns:a16="http://schemas.microsoft.com/office/drawing/2014/main" id="{779218A9-9CDE-44DB-B101-120748C843BF}"/>
            </a:ext>
          </a:extLst>
        </xdr:cNvPr>
        <xdr:cNvSpPr txBox="1"/>
      </xdr:nvSpPr>
      <xdr:spPr>
        <a:xfrm>
          <a:off x="1847850" y="276225"/>
          <a:ext cx="430530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registro la resistencia a la ruptura en</a:t>
          </a:r>
          <a:r>
            <a:rPr lang="es-MX" sz="1100" baseline="0"/>
            <a:t> libras, de cierta clase de cinta de algodón de 2 pulgadas. </a:t>
          </a:r>
        </a:p>
        <a:p>
          <a:endParaRPr lang="es-MX" sz="1100" baseline="0"/>
        </a:p>
        <a:p>
          <a:r>
            <a:rPr lang="es-MX" sz="1100" baseline="0"/>
            <a:t>Analice si el promedio a la ruptura es mayor a 160 libras</a:t>
          </a:r>
          <a:endParaRPr lang="es-MX"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179070</xdr:colOff>
      <xdr:row>2</xdr:row>
      <xdr:rowOff>49530</xdr:rowOff>
    </xdr:from>
    <xdr:to>
      <xdr:col>9</xdr:col>
      <xdr:colOff>636270</xdr:colOff>
      <xdr:row>6</xdr:row>
      <xdr:rowOff>66675</xdr:rowOff>
    </xdr:to>
    <xdr:sp macro="" textlink="">
      <xdr:nvSpPr>
        <xdr:cNvPr id="2" name="CuadroTexto 1">
          <a:extLst>
            <a:ext uri="{FF2B5EF4-FFF2-40B4-BE49-F238E27FC236}">
              <a16:creationId xmlns:a16="http://schemas.microsoft.com/office/drawing/2014/main" id="{2F1FF280-12AE-4511-B3E4-90BB083F0C0D}"/>
            </a:ext>
          </a:extLst>
        </xdr:cNvPr>
        <xdr:cNvSpPr txBox="1"/>
      </xdr:nvSpPr>
      <xdr:spPr>
        <a:xfrm>
          <a:off x="2550795" y="411480"/>
          <a:ext cx="5200650" cy="7410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 datos muestran los diametros(en centímetros) de cojinetes producidos en dos lineas de manufactura y se desea comparar las caracteristicas de las piezas en las diferentes lineas.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295275</xdr:colOff>
      <xdr:row>5</xdr:row>
      <xdr:rowOff>66675</xdr:rowOff>
    </xdr:from>
    <xdr:to>
      <xdr:col>17</xdr:col>
      <xdr:colOff>345868</xdr:colOff>
      <xdr:row>14</xdr:row>
      <xdr:rowOff>83589</xdr:rowOff>
    </xdr:to>
    <xdr:pic>
      <xdr:nvPicPr>
        <xdr:cNvPr id="2" name="Imagen 1">
          <a:extLst>
            <a:ext uri="{FF2B5EF4-FFF2-40B4-BE49-F238E27FC236}">
              <a16:creationId xmlns:a16="http://schemas.microsoft.com/office/drawing/2014/main" id="{0F065000-6FE3-4B27-9C34-9FA889E4A2BE}"/>
            </a:ext>
          </a:extLst>
        </xdr:cNvPr>
        <xdr:cNvPicPr>
          <a:picLocks noChangeAspect="1"/>
        </xdr:cNvPicPr>
      </xdr:nvPicPr>
      <xdr:blipFill>
        <a:blip xmlns:r="http://schemas.openxmlformats.org/officeDocument/2006/relationships" r:embed="rId1"/>
        <a:stretch>
          <a:fillRect/>
        </a:stretch>
      </xdr:blipFill>
      <xdr:spPr>
        <a:xfrm>
          <a:off x="5629275" y="1019175"/>
          <a:ext cx="7870618" cy="173141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619125</xdr:colOff>
      <xdr:row>0</xdr:row>
      <xdr:rowOff>0</xdr:rowOff>
    </xdr:from>
    <xdr:to>
      <xdr:col>18</xdr:col>
      <xdr:colOff>753909</xdr:colOff>
      <xdr:row>8</xdr:row>
      <xdr:rowOff>103773</xdr:rowOff>
    </xdr:to>
    <xdr:pic>
      <xdr:nvPicPr>
        <xdr:cNvPr id="2" name="Imagen 1">
          <a:extLst>
            <a:ext uri="{FF2B5EF4-FFF2-40B4-BE49-F238E27FC236}">
              <a16:creationId xmlns:a16="http://schemas.microsoft.com/office/drawing/2014/main" id="{45B7DAC2-A6B8-48FD-BF1E-15DAEED8E659}"/>
            </a:ext>
          </a:extLst>
        </xdr:cNvPr>
        <xdr:cNvPicPr>
          <a:picLocks noChangeAspect="1"/>
        </xdr:cNvPicPr>
      </xdr:nvPicPr>
      <xdr:blipFill>
        <a:blip xmlns:r="http://schemas.openxmlformats.org/officeDocument/2006/relationships" r:embed="rId1"/>
        <a:stretch>
          <a:fillRect/>
        </a:stretch>
      </xdr:blipFill>
      <xdr:spPr>
        <a:xfrm>
          <a:off x="6715125" y="0"/>
          <a:ext cx="7754784" cy="1627773"/>
        </a:xfrm>
        <a:prstGeom prst="rect">
          <a:avLst/>
        </a:prstGeom>
      </xdr:spPr>
    </xdr:pic>
    <xdr:clientData/>
  </xdr:twoCellAnchor>
  <xdr:twoCellAnchor editAs="oneCell">
    <xdr:from>
      <xdr:col>8</xdr:col>
      <xdr:colOff>419100</xdr:colOff>
      <xdr:row>9</xdr:row>
      <xdr:rowOff>161925</xdr:rowOff>
    </xdr:from>
    <xdr:to>
      <xdr:col>13</xdr:col>
      <xdr:colOff>132893</xdr:colOff>
      <xdr:row>12</xdr:row>
      <xdr:rowOff>145209</xdr:rowOff>
    </xdr:to>
    <xdr:pic>
      <xdr:nvPicPr>
        <xdr:cNvPr id="3" name="Imagen 2">
          <a:extLst>
            <a:ext uri="{FF2B5EF4-FFF2-40B4-BE49-F238E27FC236}">
              <a16:creationId xmlns:a16="http://schemas.microsoft.com/office/drawing/2014/main" id="{CA9C1BD6-A41E-4A0F-9237-DFBB2BA48532}"/>
            </a:ext>
          </a:extLst>
        </xdr:cNvPr>
        <xdr:cNvPicPr>
          <a:picLocks noChangeAspect="1"/>
        </xdr:cNvPicPr>
      </xdr:nvPicPr>
      <xdr:blipFill>
        <a:blip xmlns:r="http://schemas.openxmlformats.org/officeDocument/2006/relationships" r:embed="rId2"/>
        <a:stretch>
          <a:fillRect/>
        </a:stretch>
      </xdr:blipFill>
      <xdr:spPr>
        <a:xfrm>
          <a:off x="6515100" y="1876425"/>
          <a:ext cx="3523793" cy="554784"/>
        </a:xfrm>
        <a:prstGeom prst="rect">
          <a:avLst/>
        </a:prstGeom>
      </xdr:spPr>
    </xdr:pic>
    <xdr:clientData/>
  </xdr:twoCellAnchor>
  <xdr:twoCellAnchor editAs="oneCell">
    <xdr:from>
      <xdr:col>8</xdr:col>
      <xdr:colOff>619125</xdr:colOff>
      <xdr:row>15</xdr:row>
      <xdr:rowOff>0</xdr:rowOff>
    </xdr:from>
    <xdr:to>
      <xdr:col>11</xdr:col>
      <xdr:colOff>698578</xdr:colOff>
      <xdr:row>20</xdr:row>
      <xdr:rowOff>53427</xdr:rowOff>
    </xdr:to>
    <xdr:pic>
      <xdr:nvPicPr>
        <xdr:cNvPr id="4" name="Imagen 3">
          <a:extLst>
            <a:ext uri="{FF2B5EF4-FFF2-40B4-BE49-F238E27FC236}">
              <a16:creationId xmlns:a16="http://schemas.microsoft.com/office/drawing/2014/main" id="{C4BA90FF-B651-4EF6-AE7A-04AFA2517998}"/>
            </a:ext>
          </a:extLst>
        </xdr:cNvPr>
        <xdr:cNvPicPr>
          <a:picLocks noChangeAspect="1"/>
        </xdr:cNvPicPr>
      </xdr:nvPicPr>
      <xdr:blipFill>
        <a:blip xmlns:r="http://schemas.openxmlformats.org/officeDocument/2006/relationships" r:embed="rId3"/>
        <a:stretch>
          <a:fillRect/>
        </a:stretch>
      </xdr:blipFill>
      <xdr:spPr>
        <a:xfrm>
          <a:off x="6715125" y="2857500"/>
          <a:ext cx="2365453" cy="100592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129540</xdr:colOff>
      <xdr:row>0</xdr:row>
      <xdr:rowOff>152401</xdr:rowOff>
    </xdr:from>
    <xdr:to>
      <xdr:col>8</xdr:col>
      <xdr:colOff>598170</xdr:colOff>
      <xdr:row>5</xdr:row>
      <xdr:rowOff>161926</xdr:rowOff>
    </xdr:to>
    <xdr:sp macro="" textlink="">
      <xdr:nvSpPr>
        <xdr:cNvPr id="2" name="CuadroTexto 1">
          <a:extLst>
            <a:ext uri="{FF2B5EF4-FFF2-40B4-BE49-F238E27FC236}">
              <a16:creationId xmlns:a16="http://schemas.microsoft.com/office/drawing/2014/main" id="{106A0A4A-E0FF-491D-9F45-EC1405F615CF}"/>
            </a:ext>
          </a:extLst>
        </xdr:cNvPr>
        <xdr:cNvSpPr txBox="1"/>
      </xdr:nvSpPr>
      <xdr:spPr>
        <a:xfrm>
          <a:off x="2501265" y="152401"/>
          <a:ext cx="442150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registraron</a:t>
          </a:r>
          <a:r>
            <a:rPr lang="es-MX" sz="1100" baseline="0"/>
            <a:t> las toneladas de óxido de azufre, emitidas por una planta industrial grande, en 40 días. Se desea probar si se cumple con la ley de no emitir un promedio mayor de 21.5 toneladas</a:t>
          </a:r>
          <a:endParaRPr lang="es-MX"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447675</xdr:colOff>
      <xdr:row>0</xdr:row>
      <xdr:rowOff>104775</xdr:rowOff>
    </xdr:from>
    <xdr:to>
      <xdr:col>10</xdr:col>
      <xdr:colOff>38100</xdr:colOff>
      <xdr:row>5</xdr:row>
      <xdr:rowOff>104775</xdr:rowOff>
    </xdr:to>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2733675" y="104775"/>
          <a:ext cx="492442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 datos muestran los niveles</a:t>
          </a:r>
          <a:r>
            <a:rPr lang="es-MX" sz="1100" baseline="0"/>
            <a:t> de satisfacción de los empleados (como porcentaje) antes y después de que una empresa más grande compró su compañia ¿La compra aumentó la satisfacción de los empleados?</a:t>
          </a:r>
          <a:endParaRPr lang="es-MX"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548639</xdr:colOff>
      <xdr:row>1</xdr:row>
      <xdr:rowOff>49529</xdr:rowOff>
    </xdr:from>
    <xdr:to>
      <xdr:col>8</xdr:col>
      <xdr:colOff>552449</xdr:colOff>
      <xdr:row>10</xdr:row>
      <xdr:rowOff>38099</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2920364" y="230504"/>
          <a:ext cx="3956685" cy="1617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Un taller de reparación para motores de avionetas cambió el método de pago de salario por hora a salario por hora más un bono calculado sobre el tiempo requerido para desmontar, reparar y volver a ensamblar un motor. Los siguientes son datos recabados para 25 motores antes del cambio y 25 despues. ¿el nuevo plan incrementó la productividad?</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85725</xdr:colOff>
      <xdr:row>1</xdr:row>
      <xdr:rowOff>57150</xdr:rowOff>
    </xdr:from>
    <xdr:to>
      <xdr:col>10</xdr:col>
      <xdr:colOff>200025</xdr:colOff>
      <xdr:row>8</xdr:row>
      <xdr:rowOff>9525</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2371725" y="247650"/>
          <a:ext cx="5448300"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Un gran hospital contrata la mayor parte de sus enfermeras en dos importantes universidades del área. Durante el año pasado, aplicaron un examen a las enfermeras recién graduadas que entran al</a:t>
          </a:r>
          <a:r>
            <a:rPr lang="es-MX" sz="1100" baseline="0"/>
            <a:t> hospital para determinar qué escuela parece preparar mejor a sus enfermeras, si alguno lo hace. Basándose en las calificaciones ( de 100 puntos posibles), ayude a la oficina de personal del hospital a determinar si las escuelas difieren en calidad. Use una prueba de Mann-Whitney con una significancia del 10%</a:t>
          </a:r>
          <a:endParaRPr lang="es-MX" sz="1100"/>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277516</xdr:colOff>
      <xdr:row>3</xdr:row>
      <xdr:rowOff>28575</xdr:rowOff>
    </xdr:from>
    <xdr:to>
      <xdr:col>18</xdr:col>
      <xdr:colOff>504826</xdr:colOff>
      <xdr:row>15</xdr:row>
      <xdr:rowOff>171450</xdr:rowOff>
    </xdr:to>
    <xdr:pic>
      <xdr:nvPicPr>
        <xdr:cNvPr id="2" name="Imagen 1">
          <a:extLst>
            <a:ext uri="{FF2B5EF4-FFF2-40B4-BE49-F238E27FC236}">
              <a16:creationId xmlns:a16="http://schemas.microsoft.com/office/drawing/2014/main" id="{1CAD7B0B-B230-4CB7-AC7D-94F6A6EDCA32}"/>
            </a:ext>
          </a:extLst>
        </xdr:cNvPr>
        <xdr:cNvPicPr>
          <a:picLocks noChangeAspect="1"/>
        </xdr:cNvPicPr>
      </xdr:nvPicPr>
      <xdr:blipFill rotWithShape="1">
        <a:blip xmlns:r="http://schemas.openxmlformats.org/officeDocument/2006/relationships" r:embed="rId1"/>
        <a:srcRect l="7305" t="30326" r="11401" b="13917"/>
        <a:stretch/>
      </xdr:blipFill>
      <xdr:spPr>
        <a:xfrm>
          <a:off x="8202316" y="600075"/>
          <a:ext cx="6323310" cy="2438400"/>
        </a:xfrm>
        <a:prstGeom prst="rect">
          <a:avLst/>
        </a:prstGeom>
      </xdr:spPr>
    </xdr:pic>
    <xdr:clientData/>
  </xdr:twoCellAnchor>
  <xdr:twoCellAnchor editAs="oneCell">
    <xdr:from>
      <xdr:col>10</xdr:col>
      <xdr:colOff>638175</xdr:colOff>
      <xdr:row>23</xdr:row>
      <xdr:rowOff>9525</xdr:rowOff>
    </xdr:from>
    <xdr:to>
      <xdr:col>15</xdr:col>
      <xdr:colOff>601926</xdr:colOff>
      <xdr:row>28</xdr:row>
      <xdr:rowOff>142207</xdr:rowOff>
    </xdr:to>
    <xdr:pic>
      <xdr:nvPicPr>
        <xdr:cNvPr id="4" name="Imagen 3">
          <a:extLst>
            <a:ext uri="{FF2B5EF4-FFF2-40B4-BE49-F238E27FC236}">
              <a16:creationId xmlns:a16="http://schemas.microsoft.com/office/drawing/2014/main" id="{6D35975F-3537-4289-AFAA-528F24A7EBD4}"/>
            </a:ext>
          </a:extLst>
        </xdr:cNvPr>
        <xdr:cNvPicPr>
          <a:picLocks noChangeAspect="1"/>
        </xdr:cNvPicPr>
      </xdr:nvPicPr>
      <xdr:blipFill>
        <a:blip xmlns:r="http://schemas.openxmlformats.org/officeDocument/2006/relationships" r:embed="rId2"/>
        <a:stretch>
          <a:fillRect/>
        </a:stretch>
      </xdr:blipFill>
      <xdr:spPr>
        <a:xfrm>
          <a:off x="8562975" y="4400550"/>
          <a:ext cx="3773751" cy="1085182"/>
        </a:xfrm>
        <a:prstGeom prst="rect">
          <a:avLst/>
        </a:prstGeom>
      </xdr:spPr>
    </xdr:pic>
    <xdr:clientData/>
  </xdr:twoCellAnchor>
  <xdr:twoCellAnchor editAs="oneCell">
    <xdr:from>
      <xdr:col>9</xdr:col>
      <xdr:colOff>647700</xdr:colOff>
      <xdr:row>19</xdr:row>
      <xdr:rowOff>47625</xdr:rowOff>
    </xdr:from>
    <xdr:to>
      <xdr:col>12</xdr:col>
      <xdr:colOff>209550</xdr:colOff>
      <xdr:row>21</xdr:row>
      <xdr:rowOff>181962</xdr:rowOff>
    </xdr:to>
    <xdr:pic>
      <xdr:nvPicPr>
        <xdr:cNvPr id="5" name="Imagen 4">
          <a:extLst>
            <a:ext uri="{FF2B5EF4-FFF2-40B4-BE49-F238E27FC236}">
              <a16:creationId xmlns:a16="http://schemas.microsoft.com/office/drawing/2014/main" id="{83699503-7DAD-4CC0-AB56-E07D444521F5}"/>
            </a:ext>
          </a:extLst>
        </xdr:cNvPr>
        <xdr:cNvPicPr>
          <a:picLocks noChangeAspect="1"/>
        </xdr:cNvPicPr>
      </xdr:nvPicPr>
      <xdr:blipFill>
        <a:blip xmlns:r="http://schemas.openxmlformats.org/officeDocument/2006/relationships" r:embed="rId3"/>
        <a:stretch>
          <a:fillRect/>
        </a:stretch>
      </xdr:blipFill>
      <xdr:spPr>
        <a:xfrm>
          <a:off x="7810500" y="3676650"/>
          <a:ext cx="1847850" cy="515337"/>
        </a:xfrm>
        <a:prstGeom prst="rect">
          <a:avLst/>
        </a:prstGeom>
      </xdr:spPr>
    </xdr:pic>
    <xdr:clientData/>
  </xdr:twoCellAnchor>
  <xdr:twoCellAnchor editAs="oneCell">
    <xdr:from>
      <xdr:col>8</xdr:col>
      <xdr:colOff>114301</xdr:colOff>
      <xdr:row>20</xdr:row>
      <xdr:rowOff>66907</xdr:rowOff>
    </xdr:from>
    <xdr:to>
      <xdr:col>9</xdr:col>
      <xdr:colOff>606999</xdr:colOff>
      <xdr:row>23</xdr:row>
      <xdr:rowOff>15648</xdr:rowOff>
    </xdr:to>
    <xdr:pic>
      <xdr:nvPicPr>
        <xdr:cNvPr id="6" name="Imagen 5">
          <a:extLst>
            <a:ext uri="{FF2B5EF4-FFF2-40B4-BE49-F238E27FC236}">
              <a16:creationId xmlns:a16="http://schemas.microsoft.com/office/drawing/2014/main" id="{F4E1EF00-A924-46DC-A601-F55CBB4AFDEE}"/>
            </a:ext>
          </a:extLst>
        </xdr:cNvPr>
        <xdr:cNvPicPr>
          <a:picLocks noChangeAspect="1"/>
        </xdr:cNvPicPr>
      </xdr:nvPicPr>
      <xdr:blipFill>
        <a:blip xmlns:r="http://schemas.openxmlformats.org/officeDocument/2006/relationships" r:embed="rId4"/>
        <a:stretch>
          <a:fillRect/>
        </a:stretch>
      </xdr:blipFill>
      <xdr:spPr>
        <a:xfrm>
          <a:off x="6515101" y="3695932"/>
          <a:ext cx="1254698" cy="520241"/>
        </a:xfrm>
        <a:prstGeom prst="rect">
          <a:avLst/>
        </a:prstGeom>
      </xdr:spPr>
    </xdr:pic>
    <xdr:clientData/>
  </xdr:twoCellAnchor>
  <xdr:twoCellAnchor editAs="oneCell">
    <xdr:from>
      <xdr:col>10</xdr:col>
      <xdr:colOff>577208</xdr:colOff>
      <xdr:row>28</xdr:row>
      <xdr:rowOff>66674</xdr:rowOff>
    </xdr:from>
    <xdr:to>
      <xdr:col>17</xdr:col>
      <xdr:colOff>514351</xdr:colOff>
      <xdr:row>38</xdr:row>
      <xdr:rowOff>171449</xdr:rowOff>
    </xdr:to>
    <xdr:pic>
      <xdr:nvPicPr>
        <xdr:cNvPr id="3" name="Imagen 2">
          <a:extLst>
            <a:ext uri="{FF2B5EF4-FFF2-40B4-BE49-F238E27FC236}">
              <a16:creationId xmlns:a16="http://schemas.microsoft.com/office/drawing/2014/main" id="{8185FCEE-3C5A-4C1F-B74D-6A7B5A11A67E}"/>
            </a:ext>
          </a:extLst>
        </xdr:cNvPr>
        <xdr:cNvPicPr>
          <a:picLocks noChangeAspect="1"/>
        </xdr:cNvPicPr>
      </xdr:nvPicPr>
      <xdr:blipFill rotWithShape="1">
        <a:blip xmlns:r="http://schemas.openxmlformats.org/officeDocument/2006/relationships" r:embed="rId5"/>
        <a:srcRect l="14646" t="40722" r="17112" b="12998"/>
        <a:stretch/>
      </xdr:blipFill>
      <xdr:spPr>
        <a:xfrm>
          <a:off x="8502008" y="5410199"/>
          <a:ext cx="5271143" cy="200977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4</xdr:col>
      <xdr:colOff>777240</xdr:colOff>
      <xdr:row>2</xdr:row>
      <xdr:rowOff>11430</xdr:rowOff>
    </xdr:from>
    <xdr:to>
      <xdr:col>10</xdr:col>
      <xdr:colOff>445770</xdr:colOff>
      <xdr:row>8</xdr:row>
      <xdr:rowOff>9525</xdr:rowOff>
    </xdr:to>
    <xdr:sp macro="" textlink="">
      <xdr:nvSpPr>
        <xdr:cNvPr id="2" name="CuadroTexto 1">
          <a:extLst>
            <a:ext uri="{FF2B5EF4-FFF2-40B4-BE49-F238E27FC236}">
              <a16:creationId xmlns:a16="http://schemas.microsoft.com/office/drawing/2014/main" id="{EF32C2BE-6929-48EA-B2D2-257045EAF684}"/>
            </a:ext>
          </a:extLst>
        </xdr:cNvPr>
        <xdr:cNvSpPr txBox="1"/>
      </xdr:nvSpPr>
      <xdr:spPr>
        <a:xfrm>
          <a:off x="3939540" y="373380"/>
          <a:ext cx="4411980" cy="10839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 el</a:t>
          </a:r>
          <a:r>
            <a:rPr lang="es-MX" sz="1100" baseline="0"/>
            <a:t> tiempo que una persona tarda en recuperarse de cada uno de tres tipos de gripe. ¿Los datos aportan suficiente evidencia para indicar que los tiempos de recuperación para los tipos de gripe son diferentes?</a:t>
          </a:r>
          <a:endParaRPr lang="es-MX" sz="1100"/>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561975</xdr:colOff>
      <xdr:row>10</xdr:row>
      <xdr:rowOff>47625</xdr:rowOff>
    </xdr:from>
    <xdr:to>
      <xdr:col>15</xdr:col>
      <xdr:colOff>692825</xdr:colOff>
      <xdr:row>23</xdr:row>
      <xdr:rowOff>211</xdr:rowOff>
    </xdr:to>
    <xdr:pic>
      <xdr:nvPicPr>
        <xdr:cNvPr id="2" name="Imagen 1">
          <a:extLst>
            <a:ext uri="{FF2B5EF4-FFF2-40B4-BE49-F238E27FC236}">
              <a16:creationId xmlns:a16="http://schemas.microsoft.com/office/drawing/2014/main" id="{78E53027-090D-4D31-8726-DB32A7212CB4}"/>
            </a:ext>
          </a:extLst>
        </xdr:cNvPr>
        <xdr:cNvPicPr>
          <a:picLocks noChangeAspect="1"/>
        </xdr:cNvPicPr>
      </xdr:nvPicPr>
      <xdr:blipFill>
        <a:blip xmlns:r="http://schemas.openxmlformats.org/officeDocument/2006/relationships" r:embed="rId1"/>
        <a:stretch>
          <a:fillRect/>
        </a:stretch>
      </xdr:blipFill>
      <xdr:spPr>
        <a:xfrm>
          <a:off x="5895975" y="1762125"/>
          <a:ext cx="6322100" cy="24386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561109</xdr:colOff>
      <xdr:row>3</xdr:row>
      <xdr:rowOff>19051</xdr:rowOff>
    </xdr:from>
    <xdr:to>
      <xdr:col>15</xdr:col>
      <xdr:colOff>390526</xdr:colOff>
      <xdr:row>13</xdr:row>
      <xdr:rowOff>57151</xdr:rowOff>
    </xdr:to>
    <xdr:pic>
      <xdr:nvPicPr>
        <xdr:cNvPr id="2" name="Imagen 1">
          <a:extLst>
            <a:ext uri="{FF2B5EF4-FFF2-40B4-BE49-F238E27FC236}">
              <a16:creationId xmlns:a16="http://schemas.microsoft.com/office/drawing/2014/main" id="{15EE87E8-17EF-4C1C-ACBF-10F9559648C2}"/>
            </a:ext>
          </a:extLst>
        </xdr:cNvPr>
        <xdr:cNvPicPr>
          <a:picLocks noChangeAspect="1"/>
        </xdr:cNvPicPr>
      </xdr:nvPicPr>
      <xdr:blipFill rotWithShape="1">
        <a:blip xmlns:r="http://schemas.openxmlformats.org/officeDocument/2006/relationships" r:embed="rId1"/>
        <a:srcRect l="9697" t="52062" r="10869" b="14153"/>
        <a:stretch/>
      </xdr:blipFill>
      <xdr:spPr>
        <a:xfrm>
          <a:off x="4371109" y="590551"/>
          <a:ext cx="8125692" cy="19431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9</xdr:col>
      <xdr:colOff>285750</xdr:colOff>
      <xdr:row>7</xdr:row>
      <xdr:rowOff>114300</xdr:rowOff>
    </xdr:from>
    <xdr:to>
      <xdr:col>17</xdr:col>
      <xdr:colOff>419100</xdr:colOff>
      <xdr:row>21</xdr:row>
      <xdr:rowOff>10531</xdr:rowOff>
    </xdr:to>
    <xdr:pic>
      <xdr:nvPicPr>
        <xdr:cNvPr id="2" name="Imagen 1">
          <a:extLst>
            <a:ext uri="{FF2B5EF4-FFF2-40B4-BE49-F238E27FC236}">
              <a16:creationId xmlns:a16="http://schemas.microsoft.com/office/drawing/2014/main" id="{062D93A3-ECBB-4C1A-B6D8-7C1178F54746}"/>
            </a:ext>
          </a:extLst>
        </xdr:cNvPr>
        <xdr:cNvPicPr>
          <a:picLocks noChangeAspect="1"/>
        </xdr:cNvPicPr>
      </xdr:nvPicPr>
      <xdr:blipFill rotWithShape="1">
        <a:blip xmlns:r="http://schemas.openxmlformats.org/officeDocument/2006/relationships" r:embed="rId1"/>
        <a:srcRect l="7633" t="24413" r="17481" b="20577"/>
        <a:stretch/>
      </xdr:blipFill>
      <xdr:spPr>
        <a:xfrm>
          <a:off x="7143750" y="1447800"/>
          <a:ext cx="6229350" cy="257275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5</xdr:col>
      <xdr:colOff>205740</xdr:colOff>
      <xdr:row>1</xdr:row>
      <xdr:rowOff>167641</xdr:rowOff>
    </xdr:from>
    <xdr:to>
      <xdr:col>9</xdr:col>
      <xdr:colOff>542925</xdr:colOff>
      <xdr:row>8</xdr:row>
      <xdr:rowOff>9526</xdr:rowOff>
    </xdr:to>
    <xdr:sp macro="" textlink="">
      <xdr:nvSpPr>
        <xdr:cNvPr id="2" name="CuadroTexto 1">
          <a:extLst>
            <a:ext uri="{FF2B5EF4-FFF2-40B4-BE49-F238E27FC236}">
              <a16:creationId xmlns:a16="http://schemas.microsoft.com/office/drawing/2014/main" id="{E6BA9CBD-6F30-4C90-91FD-B5B72554F40F}"/>
            </a:ext>
          </a:extLst>
        </xdr:cNvPr>
        <xdr:cNvSpPr txBox="1"/>
      </xdr:nvSpPr>
      <xdr:spPr>
        <a:xfrm>
          <a:off x="4158615" y="348616"/>
          <a:ext cx="3499485" cy="1108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La EPA desea determinar si los cambios de temperatura en el agua del mar causados por una planta nuclear para generar energía eléctrica, tendran un efecto importante en la fauna</a:t>
          </a:r>
          <a:r>
            <a:rPr lang="es-MX" sz="1100" baseline="0"/>
            <a:t> de la región</a:t>
          </a:r>
          <a:endParaRPr lang="es-MX"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xdr:col>
      <xdr:colOff>581025</xdr:colOff>
      <xdr:row>0</xdr:row>
      <xdr:rowOff>152400</xdr:rowOff>
    </xdr:from>
    <xdr:to>
      <xdr:col>9</xdr:col>
      <xdr:colOff>133350</xdr:colOff>
      <xdr:row>10</xdr:row>
      <xdr:rowOff>161925</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2105025" y="152400"/>
          <a:ext cx="4886325"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Las autoridades de la autopista de Nueva Jersey emitieron una convocatoria para redimir algunos de sus bonos de $5000. Los bonos eran parte de una emisión de 45 000 000  en 9000 bonos, con una tasa de interés del 4.85% y originalmente pagadera en 2008. Las autoridades tenian efectivo a la mano o encontraron una fuente de dinero menos costosa y exigieron el cobro de lo sbonos para reducir sus gastos de interes. Los bonos seleccionados para su rescate se enumeraron a la izquierda.</a:t>
          </a:r>
        </a:p>
        <a:p>
          <a:endParaRPr lang="es-MX" sz="1100"/>
        </a:p>
        <a:p>
          <a:r>
            <a:rPr lang="es-MX" sz="1100"/>
            <a:t>Use una prueba</a:t>
          </a:r>
          <a:r>
            <a:rPr lang="es-MX" sz="1100" baseline="0"/>
            <a:t> de bondad de ajuste para ver si es razonable concluir que los bonos cobrados se eligieron aleatoriamente.</a:t>
          </a:r>
          <a:endParaRPr lang="es-MX"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455084</xdr:colOff>
      <xdr:row>0</xdr:row>
      <xdr:rowOff>95249</xdr:rowOff>
    </xdr:from>
    <xdr:to>
      <xdr:col>7</xdr:col>
      <xdr:colOff>566208</xdr:colOff>
      <xdr:row>9</xdr:row>
      <xdr:rowOff>169332</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2741084" y="95249"/>
          <a:ext cx="3159124" cy="1788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Suponga que</a:t>
          </a:r>
          <a:r>
            <a:rPr lang="es-MX" sz="1100" baseline="0"/>
            <a:t> la central telefónica del condado de Orange, California, ha llevado un registro del número de "transmisiones" (un tipo de equipo automático que se utiliza en las centrales telefónicas) usados en un instante dado. Para propositos de planeación de inversión de capital, el funcionario de presupuesto de esta compañia piensa que el patrón de uso sigue una distribución de Poisson con una media de 8.5</a:t>
          </a:r>
          <a:endParaRPr lang="es-MX" sz="1100"/>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669995</xdr:colOff>
      <xdr:row>8</xdr:row>
      <xdr:rowOff>0</xdr:rowOff>
    </xdr:from>
    <xdr:to>
      <xdr:col>18</xdr:col>
      <xdr:colOff>561974</xdr:colOff>
      <xdr:row>20</xdr:row>
      <xdr:rowOff>19050</xdr:rowOff>
    </xdr:to>
    <xdr:pic>
      <xdr:nvPicPr>
        <xdr:cNvPr id="2" name="Imagen 1">
          <a:extLst>
            <a:ext uri="{FF2B5EF4-FFF2-40B4-BE49-F238E27FC236}">
              <a16:creationId xmlns:a16="http://schemas.microsoft.com/office/drawing/2014/main" id="{12C6404A-2FA3-4634-B5DC-C120AE11DDAC}"/>
            </a:ext>
          </a:extLst>
        </xdr:cNvPr>
        <xdr:cNvPicPr>
          <a:picLocks noChangeAspect="1"/>
        </xdr:cNvPicPr>
      </xdr:nvPicPr>
      <xdr:blipFill rotWithShape="1">
        <a:blip xmlns:r="http://schemas.openxmlformats.org/officeDocument/2006/relationships" r:embed="rId1"/>
        <a:srcRect l="10404" t="27439" r="15177" b="21607"/>
        <a:stretch/>
      </xdr:blipFill>
      <xdr:spPr>
        <a:xfrm>
          <a:off x="11223695" y="1333500"/>
          <a:ext cx="5987979" cy="23050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5</xdr:col>
      <xdr:colOff>354330</xdr:colOff>
      <xdr:row>1</xdr:row>
      <xdr:rowOff>140970</xdr:rowOff>
    </xdr:from>
    <xdr:to>
      <xdr:col>9</xdr:col>
      <xdr:colOff>685800</xdr:colOff>
      <xdr:row>8</xdr:row>
      <xdr:rowOff>171450</xdr:rowOff>
    </xdr:to>
    <xdr:sp macro="" textlink="">
      <xdr:nvSpPr>
        <xdr:cNvPr id="2" name="CuadroTexto 1">
          <a:extLst>
            <a:ext uri="{FF2B5EF4-FFF2-40B4-BE49-F238E27FC236}">
              <a16:creationId xmlns:a16="http://schemas.microsoft.com/office/drawing/2014/main" id="{50A59C8D-1686-485B-926C-5E144F411366}"/>
            </a:ext>
          </a:extLst>
        </xdr:cNvPr>
        <xdr:cNvSpPr txBox="1"/>
      </xdr:nvSpPr>
      <xdr:spPr>
        <a:xfrm>
          <a:off x="4431030" y="321945"/>
          <a:ext cx="3493770" cy="1297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Las muestras de un material experimental se producen </a:t>
          </a:r>
          <a:r>
            <a:rPr lang="es-MX" sz="1100" baseline="0"/>
            <a:t> mediante tres diferentes prototipos de procesos y se les hace una prueba de conformidad con un estándar de resistencia ¿se puede decir que los tres procesos tienen la misma probabilidad de aprobar el estándar de resistencia?</a:t>
          </a:r>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254449</xdr:colOff>
      <xdr:row>11</xdr:row>
      <xdr:rowOff>190499</xdr:rowOff>
    </xdr:from>
    <xdr:to>
      <xdr:col>17</xdr:col>
      <xdr:colOff>390525</xdr:colOff>
      <xdr:row>20</xdr:row>
      <xdr:rowOff>104775</xdr:rowOff>
    </xdr:to>
    <xdr:pic>
      <xdr:nvPicPr>
        <xdr:cNvPr id="2" name="Imagen 1">
          <a:extLst>
            <a:ext uri="{FF2B5EF4-FFF2-40B4-BE49-F238E27FC236}">
              <a16:creationId xmlns:a16="http://schemas.microsoft.com/office/drawing/2014/main" id="{8C6F674A-92AD-41B9-81D7-11DA883473D2}"/>
            </a:ext>
          </a:extLst>
        </xdr:cNvPr>
        <xdr:cNvPicPr>
          <a:picLocks noChangeAspect="1"/>
        </xdr:cNvPicPr>
      </xdr:nvPicPr>
      <xdr:blipFill rotWithShape="1">
        <a:blip xmlns:r="http://schemas.openxmlformats.org/officeDocument/2006/relationships" r:embed="rId1"/>
        <a:srcRect l="6470" t="40073" r="7538" b="27807"/>
        <a:stretch/>
      </xdr:blipFill>
      <xdr:spPr>
        <a:xfrm>
          <a:off x="6274249" y="2247899"/>
          <a:ext cx="7756076" cy="16287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697230</xdr:colOff>
      <xdr:row>1</xdr:row>
      <xdr:rowOff>53341</xdr:rowOff>
    </xdr:from>
    <xdr:to>
      <xdr:col>11</xdr:col>
      <xdr:colOff>91440</xdr:colOff>
      <xdr:row>6</xdr:row>
      <xdr:rowOff>9526</xdr:rowOff>
    </xdr:to>
    <xdr:sp macro="" textlink="">
      <xdr:nvSpPr>
        <xdr:cNvPr id="2" name="CuadroTexto 1">
          <a:extLst>
            <a:ext uri="{FF2B5EF4-FFF2-40B4-BE49-F238E27FC236}">
              <a16:creationId xmlns:a16="http://schemas.microsoft.com/office/drawing/2014/main" id="{13980E94-7A11-4D99-B9D5-6C83D338A412}"/>
            </a:ext>
          </a:extLst>
        </xdr:cNvPr>
        <xdr:cNvSpPr txBox="1"/>
      </xdr:nvSpPr>
      <xdr:spPr>
        <a:xfrm>
          <a:off x="3859530" y="234316"/>
          <a:ext cx="4928235"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 el número</a:t>
          </a:r>
          <a:r>
            <a:rPr lang="es-MX" sz="1100" baseline="0"/>
            <a:t> de fusibles electricos defectuosos producidos por dos líneas de producción a lo largo de 10 días. ¿Los datos presentan evidencia para indicar que cualquiera de las lineas produce más piezas defectuosas que la otra?</a:t>
          </a:r>
          <a:endParaRPr lang="es-MX"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719137</xdr:colOff>
      <xdr:row>3</xdr:row>
      <xdr:rowOff>142875</xdr:rowOff>
    </xdr:from>
    <xdr:to>
      <xdr:col>20</xdr:col>
      <xdr:colOff>38100</xdr:colOff>
      <xdr:row>16</xdr:row>
      <xdr:rowOff>123825</xdr:rowOff>
    </xdr:to>
    <xdr:pic>
      <xdr:nvPicPr>
        <xdr:cNvPr id="3" name="Imagen 2">
          <a:extLst>
            <a:ext uri="{FF2B5EF4-FFF2-40B4-BE49-F238E27FC236}">
              <a16:creationId xmlns:a16="http://schemas.microsoft.com/office/drawing/2014/main" id="{94F14ACF-2A4D-482B-807B-363408853A47}"/>
            </a:ext>
          </a:extLst>
        </xdr:cNvPr>
        <xdr:cNvPicPr>
          <a:picLocks noChangeAspect="1"/>
        </xdr:cNvPicPr>
      </xdr:nvPicPr>
      <xdr:blipFill rotWithShape="1">
        <a:blip xmlns:r="http://schemas.openxmlformats.org/officeDocument/2006/relationships" r:embed="rId1"/>
        <a:srcRect l="7535" t="23388" r="12829" b="31412"/>
        <a:stretch/>
      </xdr:blipFill>
      <xdr:spPr>
        <a:xfrm>
          <a:off x="7929562" y="714375"/>
          <a:ext cx="7700963" cy="24574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600075</xdr:colOff>
      <xdr:row>4</xdr:row>
      <xdr:rowOff>85725</xdr:rowOff>
    </xdr:from>
    <xdr:to>
      <xdr:col>20</xdr:col>
      <xdr:colOff>734859</xdr:colOff>
      <xdr:row>12</xdr:row>
      <xdr:rowOff>189498</xdr:rowOff>
    </xdr:to>
    <xdr:pic>
      <xdr:nvPicPr>
        <xdr:cNvPr id="3" name="Imagen 2">
          <a:extLst>
            <a:ext uri="{FF2B5EF4-FFF2-40B4-BE49-F238E27FC236}">
              <a16:creationId xmlns:a16="http://schemas.microsoft.com/office/drawing/2014/main" id="{8B700574-04A0-4AC8-92A2-8AABC7588F40}"/>
            </a:ext>
          </a:extLst>
        </xdr:cNvPr>
        <xdr:cNvPicPr>
          <a:picLocks noChangeAspect="1"/>
        </xdr:cNvPicPr>
      </xdr:nvPicPr>
      <xdr:blipFill>
        <a:blip xmlns:r="http://schemas.openxmlformats.org/officeDocument/2006/relationships" r:embed="rId1"/>
        <a:stretch>
          <a:fillRect/>
        </a:stretch>
      </xdr:blipFill>
      <xdr:spPr>
        <a:xfrm>
          <a:off x="8220075" y="847725"/>
          <a:ext cx="7754784" cy="16277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87630</xdr:colOff>
      <xdr:row>2</xdr:row>
      <xdr:rowOff>64770</xdr:rowOff>
    </xdr:from>
    <xdr:to>
      <xdr:col>7</xdr:col>
      <xdr:colOff>240030</xdr:colOff>
      <xdr:row>6</xdr:row>
      <xdr:rowOff>76200</xdr:rowOff>
    </xdr:to>
    <xdr:sp macro="" textlink="">
      <xdr:nvSpPr>
        <xdr:cNvPr id="2" name="CuadroTexto 1">
          <a:extLst>
            <a:ext uri="{FF2B5EF4-FFF2-40B4-BE49-F238E27FC236}">
              <a16:creationId xmlns:a16="http://schemas.microsoft.com/office/drawing/2014/main" id="{BAC56EC4-A8EF-4027-BF58-F86B50E56A44}"/>
            </a:ext>
          </a:extLst>
        </xdr:cNvPr>
        <xdr:cNvSpPr txBox="1"/>
      </xdr:nvSpPr>
      <xdr:spPr>
        <a:xfrm>
          <a:off x="1668780" y="426720"/>
          <a:ext cx="4105275" cy="735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a:t>
          </a:r>
          <a:r>
            <a:rPr lang="es-MX" sz="1100" baseline="0"/>
            <a:t> el rendimiento de </a:t>
          </a:r>
          <a:r>
            <a:rPr lang="es-MX" sz="1100"/>
            <a:t>cierta clase de gasolina, la cual reporta un rendimiento de 24.2 millas por galon,  para lo cual se registran las millas por </a:t>
          </a:r>
          <a:r>
            <a:rPr lang="es-MX" sz="1100" baseline="0"/>
            <a:t>galón </a:t>
          </a:r>
          <a:r>
            <a:rPr lang="es-MX" sz="1100">
              <a:solidFill>
                <a:schemeClr val="dk1"/>
              </a:solidFill>
              <a:effectLst/>
              <a:latin typeface="+mn-lt"/>
              <a:ea typeface="+mn-ea"/>
              <a:cs typeface="+mn-cs"/>
            </a:rPr>
            <a:t> de 40 tanques llenos de  dicha clase de gasolina.</a:t>
          </a:r>
          <a:endParaRPr lang="es-MX"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142875</xdr:colOff>
      <xdr:row>4</xdr:row>
      <xdr:rowOff>152400</xdr:rowOff>
    </xdr:from>
    <xdr:to>
      <xdr:col>16</xdr:col>
      <xdr:colOff>390526</xdr:colOff>
      <xdr:row>13</xdr:row>
      <xdr:rowOff>171450</xdr:rowOff>
    </xdr:to>
    <xdr:pic>
      <xdr:nvPicPr>
        <xdr:cNvPr id="2" name="Imagen 1">
          <a:extLst>
            <a:ext uri="{FF2B5EF4-FFF2-40B4-BE49-F238E27FC236}">
              <a16:creationId xmlns:a16="http://schemas.microsoft.com/office/drawing/2014/main" id="{35DC8CAE-C4E5-495E-ABC4-43AD7D4B68E1}"/>
            </a:ext>
          </a:extLst>
        </xdr:cNvPr>
        <xdr:cNvPicPr>
          <a:picLocks noChangeAspect="1"/>
        </xdr:cNvPicPr>
      </xdr:nvPicPr>
      <xdr:blipFill rotWithShape="1">
        <a:blip xmlns:r="http://schemas.openxmlformats.org/officeDocument/2006/relationships" r:embed="rId1"/>
        <a:srcRect l="12010" t="53477" r="13682" b="19646"/>
        <a:stretch/>
      </xdr:blipFill>
      <xdr:spPr>
        <a:xfrm>
          <a:off x="5010150" y="914400"/>
          <a:ext cx="7867651" cy="17335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295274</xdr:colOff>
      <xdr:row>9</xdr:row>
      <xdr:rowOff>114300</xdr:rowOff>
    </xdr:from>
    <xdr:to>
      <xdr:col>12</xdr:col>
      <xdr:colOff>7143</xdr:colOff>
      <xdr:row>12</xdr:row>
      <xdr:rowOff>95250</xdr:rowOff>
    </xdr:to>
    <xdr:pic>
      <xdr:nvPicPr>
        <xdr:cNvPr id="2" name="Imagen 1">
          <a:extLst>
            <a:ext uri="{FF2B5EF4-FFF2-40B4-BE49-F238E27FC236}">
              <a16:creationId xmlns:a16="http://schemas.microsoft.com/office/drawing/2014/main" id="{31F75756-C8A8-49BB-9D95-F004B65E78D4}"/>
            </a:ext>
          </a:extLst>
        </xdr:cNvPr>
        <xdr:cNvPicPr>
          <a:picLocks noChangeAspect="1"/>
        </xdr:cNvPicPr>
      </xdr:nvPicPr>
      <xdr:blipFill rotWithShape="1">
        <a:blip xmlns:r="http://schemas.openxmlformats.org/officeDocument/2006/relationships" r:embed="rId1"/>
        <a:srcRect l="32571" t="53383" r="36506" b="37989"/>
        <a:stretch/>
      </xdr:blipFill>
      <xdr:spPr>
        <a:xfrm>
          <a:off x="5857874" y="1895475"/>
          <a:ext cx="3521869" cy="552450"/>
        </a:xfrm>
        <a:prstGeom prst="rect">
          <a:avLst/>
        </a:prstGeom>
      </xdr:spPr>
    </xdr:pic>
    <xdr:clientData/>
  </xdr:twoCellAnchor>
  <xdr:twoCellAnchor editAs="oneCell">
    <xdr:from>
      <xdr:col>7</xdr:col>
      <xdr:colOff>663484</xdr:colOff>
      <xdr:row>17</xdr:row>
      <xdr:rowOff>57150</xdr:rowOff>
    </xdr:from>
    <xdr:to>
      <xdr:col>10</xdr:col>
      <xdr:colOff>742950</xdr:colOff>
      <xdr:row>22</xdr:row>
      <xdr:rowOff>114300</xdr:rowOff>
    </xdr:to>
    <xdr:pic>
      <xdr:nvPicPr>
        <xdr:cNvPr id="3" name="Imagen 2">
          <a:extLst>
            <a:ext uri="{FF2B5EF4-FFF2-40B4-BE49-F238E27FC236}">
              <a16:creationId xmlns:a16="http://schemas.microsoft.com/office/drawing/2014/main" id="{714C0CC9-3E23-48A9-8C65-E93AB4D18FAF}"/>
            </a:ext>
          </a:extLst>
        </xdr:cNvPr>
        <xdr:cNvPicPr>
          <a:picLocks noChangeAspect="1"/>
        </xdr:cNvPicPr>
      </xdr:nvPicPr>
      <xdr:blipFill rotWithShape="1">
        <a:blip xmlns:r="http://schemas.openxmlformats.org/officeDocument/2006/relationships" r:embed="rId2"/>
        <a:srcRect l="38112" t="67446" r="40735" b="16495"/>
        <a:stretch/>
      </xdr:blipFill>
      <xdr:spPr>
        <a:xfrm>
          <a:off x="6226084" y="3362325"/>
          <a:ext cx="2365466" cy="1009650"/>
        </a:xfrm>
        <a:prstGeom prst="rect">
          <a:avLst/>
        </a:prstGeom>
      </xdr:spPr>
    </xdr:pic>
    <xdr:clientData/>
  </xdr:twoCellAnchor>
  <xdr:twoCellAnchor editAs="oneCell">
    <xdr:from>
      <xdr:col>7</xdr:col>
      <xdr:colOff>666750</xdr:colOff>
      <xdr:row>0</xdr:row>
      <xdr:rowOff>123825</xdr:rowOff>
    </xdr:from>
    <xdr:to>
      <xdr:col>18</xdr:col>
      <xdr:colOff>39534</xdr:colOff>
      <xdr:row>8</xdr:row>
      <xdr:rowOff>160923</xdr:rowOff>
    </xdr:to>
    <xdr:pic>
      <xdr:nvPicPr>
        <xdr:cNvPr id="4" name="Imagen 3">
          <a:extLst>
            <a:ext uri="{FF2B5EF4-FFF2-40B4-BE49-F238E27FC236}">
              <a16:creationId xmlns:a16="http://schemas.microsoft.com/office/drawing/2014/main" id="{BD19C202-B960-496B-843D-5998BFE7BABF}"/>
            </a:ext>
          </a:extLst>
        </xdr:cNvPr>
        <xdr:cNvPicPr>
          <a:picLocks noChangeAspect="1"/>
        </xdr:cNvPicPr>
      </xdr:nvPicPr>
      <xdr:blipFill>
        <a:blip xmlns:r="http://schemas.openxmlformats.org/officeDocument/2006/relationships" r:embed="rId3"/>
        <a:stretch>
          <a:fillRect/>
        </a:stretch>
      </xdr:blipFill>
      <xdr:spPr>
        <a:xfrm>
          <a:off x="6229350" y="123825"/>
          <a:ext cx="7754784" cy="162777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35692-F234-4AB2-BB2D-0B72F8FA4F12}">
  <sheetPr>
    <tabColor theme="4"/>
  </sheetPr>
  <dimension ref="A1:A21"/>
  <sheetViews>
    <sheetView workbookViewId="0">
      <selection activeCell="C23" sqref="C23"/>
    </sheetView>
  </sheetViews>
  <sheetFormatPr baseColWidth="10" defaultRowHeight="15" x14ac:dyDescent="0.25"/>
  <sheetData>
    <row r="1" spans="1:1" x14ac:dyDescent="0.25">
      <c r="A1" t="s">
        <v>9</v>
      </c>
    </row>
    <row r="2" spans="1:1" x14ac:dyDescent="0.25">
      <c r="A2">
        <v>163</v>
      </c>
    </row>
    <row r="3" spans="1:1" x14ac:dyDescent="0.25">
      <c r="A3">
        <v>165</v>
      </c>
    </row>
    <row r="4" spans="1:1" x14ac:dyDescent="0.25">
      <c r="A4">
        <v>160</v>
      </c>
    </row>
    <row r="5" spans="1:1" x14ac:dyDescent="0.25">
      <c r="A5">
        <v>189</v>
      </c>
    </row>
    <row r="6" spans="1:1" x14ac:dyDescent="0.25">
      <c r="A6">
        <v>161</v>
      </c>
    </row>
    <row r="7" spans="1:1" x14ac:dyDescent="0.25">
      <c r="A7">
        <v>171</v>
      </c>
    </row>
    <row r="8" spans="1:1" x14ac:dyDescent="0.25">
      <c r="A8">
        <v>158</v>
      </c>
    </row>
    <row r="9" spans="1:1" x14ac:dyDescent="0.25">
      <c r="A9">
        <v>151</v>
      </c>
    </row>
    <row r="10" spans="1:1" x14ac:dyDescent="0.25">
      <c r="A10">
        <v>169</v>
      </c>
    </row>
    <row r="11" spans="1:1" x14ac:dyDescent="0.25">
      <c r="A11">
        <v>162</v>
      </c>
    </row>
    <row r="12" spans="1:1" x14ac:dyDescent="0.25">
      <c r="A12">
        <v>163</v>
      </c>
    </row>
    <row r="13" spans="1:1" x14ac:dyDescent="0.25">
      <c r="A13">
        <v>139</v>
      </c>
    </row>
    <row r="14" spans="1:1" x14ac:dyDescent="0.25">
      <c r="A14">
        <v>172</v>
      </c>
    </row>
    <row r="15" spans="1:1" x14ac:dyDescent="0.25">
      <c r="A15">
        <v>165</v>
      </c>
    </row>
    <row r="16" spans="1:1" x14ac:dyDescent="0.25">
      <c r="A16">
        <v>148</v>
      </c>
    </row>
    <row r="17" spans="1:1" x14ac:dyDescent="0.25">
      <c r="A17">
        <v>166</v>
      </c>
    </row>
    <row r="18" spans="1:1" x14ac:dyDescent="0.25">
      <c r="A18">
        <v>172</v>
      </c>
    </row>
    <row r="19" spans="1:1" x14ac:dyDescent="0.25">
      <c r="A19">
        <v>163</v>
      </c>
    </row>
    <row r="20" spans="1:1" x14ac:dyDescent="0.25">
      <c r="A20">
        <v>187</v>
      </c>
    </row>
    <row r="21" spans="1:1" x14ac:dyDescent="0.25">
      <c r="A21">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79933-F501-4A27-8FF0-C2DDCF79760E}">
  <dimension ref="A2:J42"/>
  <sheetViews>
    <sheetView topLeftCell="A10" workbookViewId="0">
      <selection activeCell="F27" sqref="F27"/>
    </sheetView>
  </sheetViews>
  <sheetFormatPr baseColWidth="10" defaultRowHeight="15" x14ac:dyDescent="0.25"/>
  <cols>
    <col min="1" max="1" width="14.5703125" customWidth="1"/>
    <col min="4" max="4" width="17" customWidth="1"/>
    <col min="7" max="7" width="14" customWidth="1"/>
    <col min="8" max="8" width="13" customWidth="1"/>
    <col min="9" max="9" width="19" customWidth="1"/>
  </cols>
  <sheetData>
    <row r="2" spans="1:10" x14ac:dyDescent="0.25">
      <c r="A2" t="s">
        <v>14</v>
      </c>
    </row>
    <row r="3" spans="1:10" x14ac:dyDescent="0.25">
      <c r="A3">
        <v>24.1</v>
      </c>
      <c r="D3" s="15" t="s">
        <v>104</v>
      </c>
    </row>
    <row r="4" spans="1:10" x14ac:dyDescent="0.25">
      <c r="A4">
        <v>25</v>
      </c>
      <c r="D4" t="s">
        <v>224</v>
      </c>
    </row>
    <row r="5" spans="1:10" x14ac:dyDescent="0.25">
      <c r="A5">
        <v>24.8</v>
      </c>
      <c r="D5" t="s">
        <v>205</v>
      </c>
    </row>
    <row r="6" spans="1:10" x14ac:dyDescent="0.25">
      <c r="A6">
        <v>24.3</v>
      </c>
    </row>
    <row r="7" spans="1:10" x14ac:dyDescent="0.25">
      <c r="A7">
        <v>24.2</v>
      </c>
      <c r="D7" t="s">
        <v>225</v>
      </c>
      <c r="E7">
        <v>0.29899999999999999</v>
      </c>
    </row>
    <row r="8" spans="1:10" x14ac:dyDescent="0.25">
      <c r="A8">
        <v>25.3</v>
      </c>
    </row>
    <row r="9" spans="1:10" x14ac:dyDescent="0.25">
      <c r="A9">
        <v>24.2</v>
      </c>
      <c r="D9" t="s">
        <v>226</v>
      </c>
      <c r="E9">
        <v>6</v>
      </c>
    </row>
    <row r="10" spans="1:10" x14ac:dyDescent="0.25">
      <c r="A10">
        <v>23.6</v>
      </c>
      <c r="D10" t="s">
        <v>227</v>
      </c>
      <c r="E10">
        <v>0.4166667</v>
      </c>
    </row>
    <row r="11" spans="1:10" x14ac:dyDescent="0.25">
      <c r="A11">
        <v>24.5</v>
      </c>
      <c r="D11" t="s">
        <v>103</v>
      </c>
      <c r="E11">
        <v>2.5</v>
      </c>
    </row>
    <row r="12" spans="1:10" x14ac:dyDescent="0.25">
      <c r="A12">
        <v>24.4</v>
      </c>
      <c r="D12" t="s">
        <v>232</v>
      </c>
      <c r="E12">
        <v>24.2</v>
      </c>
    </row>
    <row r="13" spans="1:10" x14ac:dyDescent="0.25">
      <c r="A13">
        <v>24.5</v>
      </c>
      <c r="D13" t="s">
        <v>233</v>
      </c>
      <c r="E13">
        <f>SQRT(E12)</f>
        <v>4.919349550499537</v>
      </c>
    </row>
    <row r="14" spans="1:10" x14ac:dyDescent="0.25">
      <c r="A14">
        <v>24.3</v>
      </c>
    </row>
    <row r="15" spans="1:10" x14ac:dyDescent="0.25">
      <c r="A15">
        <v>24</v>
      </c>
      <c r="D15" t="s">
        <v>228</v>
      </c>
      <c r="E15" t="s">
        <v>229</v>
      </c>
      <c r="F15" t="s">
        <v>230</v>
      </c>
      <c r="G15" t="s">
        <v>231</v>
      </c>
      <c r="H15" t="s">
        <v>202</v>
      </c>
      <c r="I15" t="s">
        <v>203</v>
      </c>
      <c r="J15" t="s">
        <v>206</v>
      </c>
    </row>
    <row r="16" spans="1:10" x14ac:dyDescent="0.25">
      <c r="A16">
        <v>23.8</v>
      </c>
      <c r="D16">
        <v>1</v>
      </c>
      <c r="E16">
        <v>23.3</v>
      </c>
      <c r="F16">
        <f>E16+E10</f>
        <v>23.716666700000001</v>
      </c>
      <c r="G16">
        <v>2</v>
      </c>
      <c r="H16">
        <f>_xlfn.NORM.DIST(G16,$E$12,$E$13,1)</f>
        <v>3.1989919971629792E-6</v>
      </c>
    </row>
    <row r="17" spans="1:7" x14ac:dyDescent="0.25">
      <c r="A17">
        <v>23.8</v>
      </c>
      <c r="D17">
        <v>2</v>
      </c>
      <c r="E17">
        <f>F16</f>
        <v>23.716666700000001</v>
      </c>
      <c r="F17">
        <f>F16+$E$10</f>
        <v>24.133333400000001</v>
      </c>
      <c r="G17">
        <v>8</v>
      </c>
    </row>
    <row r="18" spans="1:7" x14ac:dyDescent="0.25">
      <c r="A18">
        <v>25.3</v>
      </c>
      <c r="D18">
        <v>3</v>
      </c>
      <c r="E18">
        <f t="shared" ref="E18:E21" si="0">F17</f>
        <v>24.133333400000001</v>
      </c>
      <c r="F18">
        <f t="shared" ref="F18:F21" si="1">F17+$E$10</f>
        <v>24.550000100000002</v>
      </c>
      <c r="G18">
        <v>12</v>
      </c>
    </row>
    <row r="19" spans="1:7" x14ac:dyDescent="0.25">
      <c r="A19">
        <v>24.5</v>
      </c>
      <c r="D19">
        <v>4</v>
      </c>
      <c r="E19">
        <f t="shared" si="0"/>
        <v>24.550000100000002</v>
      </c>
      <c r="F19">
        <f t="shared" si="1"/>
        <v>24.966666800000002</v>
      </c>
      <c r="G19">
        <v>8</v>
      </c>
    </row>
    <row r="20" spans="1:7" x14ac:dyDescent="0.25">
      <c r="A20">
        <v>24.6</v>
      </c>
      <c r="D20">
        <v>5</v>
      </c>
      <c r="E20">
        <f t="shared" si="0"/>
        <v>24.966666800000002</v>
      </c>
      <c r="F20">
        <f t="shared" si="1"/>
        <v>25.383333500000003</v>
      </c>
      <c r="G20">
        <v>8</v>
      </c>
    </row>
    <row r="21" spans="1:7" x14ac:dyDescent="0.25">
      <c r="A21">
        <v>24</v>
      </c>
      <c r="D21">
        <v>6</v>
      </c>
      <c r="E21">
        <f t="shared" si="0"/>
        <v>25.383333500000003</v>
      </c>
      <c r="F21">
        <f t="shared" si="1"/>
        <v>25.800000200000003</v>
      </c>
      <c r="G21">
        <v>2</v>
      </c>
    </row>
    <row r="22" spans="1:7" x14ac:dyDescent="0.25">
      <c r="A22">
        <v>25.2</v>
      </c>
      <c r="G22">
        <f>SUM(G16:G21)</f>
        <v>40</v>
      </c>
    </row>
    <row r="23" spans="1:7" x14ac:dyDescent="0.25">
      <c r="A23">
        <v>25.2</v>
      </c>
    </row>
    <row r="24" spans="1:7" x14ac:dyDescent="0.25">
      <c r="A24">
        <v>24.4</v>
      </c>
      <c r="D24" s="15" t="s">
        <v>39</v>
      </c>
    </row>
    <row r="25" spans="1:7" x14ac:dyDescent="0.25">
      <c r="A25">
        <v>24.7</v>
      </c>
    </row>
    <row r="26" spans="1:7" x14ac:dyDescent="0.25">
      <c r="A26">
        <v>24.1</v>
      </c>
    </row>
    <row r="27" spans="1:7" x14ac:dyDescent="0.25">
      <c r="A27">
        <v>24.6</v>
      </c>
    </row>
    <row r="28" spans="1:7" x14ac:dyDescent="0.25">
      <c r="A28">
        <v>24.9</v>
      </c>
    </row>
    <row r="29" spans="1:7" x14ac:dyDescent="0.25">
      <c r="A29">
        <v>24.1</v>
      </c>
    </row>
    <row r="30" spans="1:7" x14ac:dyDescent="0.25">
      <c r="A30">
        <v>25.8</v>
      </c>
    </row>
    <row r="31" spans="1:7" x14ac:dyDescent="0.25">
      <c r="A31">
        <v>24.2</v>
      </c>
    </row>
    <row r="32" spans="1:7" x14ac:dyDescent="0.25">
      <c r="A32">
        <v>24.8</v>
      </c>
    </row>
    <row r="33" spans="1:1" x14ac:dyDescent="0.25">
      <c r="A33">
        <v>24.1</v>
      </c>
    </row>
    <row r="34" spans="1:1" x14ac:dyDescent="0.25">
      <c r="A34">
        <v>25.6</v>
      </c>
    </row>
    <row r="35" spans="1:1" x14ac:dyDescent="0.25">
      <c r="A35">
        <v>24.5</v>
      </c>
    </row>
    <row r="36" spans="1:1" x14ac:dyDescent="0.25">
      <c r="A36">
        <v>25.1</v>
      </c>
    </row>
    <row r="37" spans="1:1" x14ac:dyDescent="0.25">
      <c r="A37">
        <v>24.6</v>
      </c>
    </row>
    <row r="38" spans="1:1" x14ac:dyDescent="0.25">
      <c r="A38">
        <v>24.3</v>
      </c>
    </row>
    <row r="39" spans="1:1" x14ac:dyDescent="0.25">
      <c r="A39">
        <v>25.2</v>
      </c>
    </row>
    <row r="40" spans="1:1" x14ac:dyDescent="0.25">
      <c r="A40">
        <v>24.7</v>
      </c>
    </row>
    <row r="41" spans="1:1" x14ac:dyDescent="0.25">
      <c r="A41">
        <v>23.3</v>
      </c>
    </row>
    <row r="42" spans="1:1" x14ac:dyDescent="0.25">
      <c r="A42">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6F12-4B66-47EC-9106-F336B24FFDAE}">
  <sheetPr>
    <tabColor rgb="FF7030A0"/>
  </sheetPr>
  <dimension ref="A1:B41"/>
  <sheetViews>
    <sheetView workbookViewId="0">
      <selection activeCell="A17" sqref="A17"/>
    </sheetView>
  </sheetViews>
  <sheetFormatPr baseColWidth="10" defaultRowHeight="15" x14ac:dyDescent="0.25"/>
  <sheetData>
    <row r="1" spans="1:2" x14ac:dyDescent="0.25">
      <c r="A1" t="s">
        <v>15</v>
      </c>
      <c r="B1" t="s">
        <v>16</v>
      </c>
    </row>
    <row r="2" spans="1:2" x14ac:dyDescent="0.25">
      <c r="A2">
        <v>4.01</v>
      </c>
      <c r="B2">
        <v>3.98</v>
      </c>
    </row>
    <row r="3" spans="1:2" x14ac:dyDescent="0.25">
      <c r="A3">
        <v>3.97</v>
      </c>
      <c r="B3">
        <v>3.97</v>
      </c>
    </row>
    <row r="4" spans="1:2" x14ac:dyDescent="0.25">
      <c r="A4">
        <v>4.0599999999999996</v>
      </c>
      <c r="B4">
        <v>4.07</v>
      </c>
    </row>
    <row r="5" spans="1:2" x14ac:dyDescent="0.25">
      <c r="A5">
        <v>3.96</v>
      </c>
      <c r="B5">
        <v>4.0199999999999996</v>
      </c>
    </row>
    <row r="6" spans="1:2" x14ac:dyDescent="0.25">
      <c r="A6">
        <v>3.98</v>
      </c>
      <c r="B6">
        <v>3.96</v>
      </c>
    </row>
    <row r="7" spans="1:2" x14ac:dyDescent="0.25">
      <c r="A7">
        <v>3.98</v>
      </c>
      <c r="B7">
        <v>4.0199999999999996</v>
      </c>
    </row>
    <row r="8" spans="1:2" x14ac:dyDescent="0.25">
      <c r="A8">
        <v>4.01</v>
      </c>
      <c r="B8">
        <v>3.95</v>
      </c>
    </row>
    <row r="9" spans="1:2" x14ac:dyDescent="0.25">
      <c r="A9">
        <v>3.95</v>
      </c>
      <c r="B9">
        <v>4.07</v>
      </c>
    </row>
    <row r="10" spans="1:2" x14ac:dyDescent="0.25">
      <c r="A10">
        <v>4.03</v>
      </c>
      <c r="B10">
        <v>3.99</v>
      </c>
    </row>
    <row r="11" spans="1:2" x14ac:dyDescent="0.25">
      <c r="A11">
        <v>4.07</v>
      </c>
      <c r="B11">
        <v>3.99</v>
      </c>
    </row>
    <row r="12" spans="1:2" x14ac:dyDescent="0.25">
      <c r="A12">
        <v>3.92</v>
      </c>
      <c r="B12">
        <v>3.96</v>
      </c>
    </row>
    <row r="13" spans="1:2" x14ac:dyDescent="0.25">
      <c r="A13">
        <v>3.97</v>
      </c>
      <c r="B13">
        <v>4.0199999999999996</v>
      </c>
    </row>
    <row r="14" spans="1:2" x14ac:dyDescent="0.25">
      <c r="A14">
        <v>4.04</v>
      </c>
      <c r="B14">
        <v>4.04</v>
      </c>
    </row>
    <row r="15" spans="1:2" x14ac:dyDescent="0.25">
      <c r="A15">
        <v>4.03</v>
      </c>
      <c r="B15">
        <v>4.03</v>
      </c>
    </row>
    <row r="16" spans="1:2" x14ac:dyDescent="0.25">
      <c r="A16">
        <v>3.95</v>
      </c>
      <c r="B16">
        <v>4.05</v>
      </c>
    </row>
    <row r="17" spans="1:2" x14ac:dyDescent="0.25">
      <c r="A17">
        <v>4.05</v>
      </c>
      <c r="B17">
        <v>4.01</v>
      </c>
    </row>
    <row r="18" spans="1:2" x14ac:dyDescent="0.25">
      <c r="A18">
        <v>3.98</v>
      </c>
      <c r="B18">
        <v>3.96</v>
      </c>
    </row>
    <row r="19" spans="1:2" x14ac:dyDescent="0.25">
      <c r="A19">
        <v>4.01</v>
      </c>
      <c r="B19">
        <v>3.98</v>
      </c>
    </row>
    <row r="20" spans="1:2" x14ac:dyDescent="0.25">
      <c r="A20">
        <v>4.0199999999999996</v>
      </c>
      <c r="B20">
        <v>4.05</v>
      </c>
    </row>
    <row r="21" spans="1:2" x14ac:dyDescent="0.25">
      <c r="A21">
        <v>3.99</v>
      </c>
      <c r="B21">
        <v>4.04</v>
      </c>
    </row>
    <row r="22" spans="1:2" x14ac:dyDescent="0.25">
      <c r="A22">
        <v>4.03</v>
      </c>
      <c r="B22">
        <v>4.04</v>
      </c>
    </row>
    <row r="23" spans="1:2" x14ac:dyDescent="0.25">
      <c r="A23">
        <v>3.99</v>
      </c>
      <c r="B23">
        <v>4.0199999999999996</v>
      </c>
    </row>
    <row r="24" spans="1:2" x14ac:dyDescent="0.25">
      <c r="A24">
        <v>4.05</v>
      </c>
      <c r="B24">
        <v>4.03</v>
      </c>
    </row>
    <row r="25" spans="1:2" x14ac:dyDescent="0.25">
      <c r="A25">
        <v>3.98</v>
      </c>
      <c r="B25">
        <v>4</v>
      </c>
    </row>
    <row r="26" spans="1:2" x14ac:dyDescent="0.25">
      <c r="A26">
        <v>3.99</v>
      </c>
      <c r="B26">
        <v>3.99</v>
      </c>
    </row>
    <row r="27" spans="1:2" x14ac:dyDescent="0.25">
      <c r="A27">
        <v>4.0199999999999996</v>
      </c>
      <c r="B27">
        <v>4.03</v>
      </c>
    </row>
    <row r="28" spans="1:2" x14ac:dyDescent="0.25">
      <c r="A28">
        <v>3.98</v>
      </c>
      <c r="B28">
        <v>4.04</v>
      </c>
    </row>
    <row r="29" spans="1:2" x14ac:dyDescent="0.25">
      <c r="A29">
        <v>4</v>
      </c>
      <c r="B29">
        <v>4.05</v>
      </c>
    </row>
    <row r="30" spans="1:2" x14ac:dyDescent="0.25">
      <c r="A30">
        <v>3.96</v>
      </c>
      <c r="B30">
        <v>4.04</v>
      </c>
    </row>
    <row r="31" spans="1:2" x14ac:dyDescent="0.25">
      <c r="A31">
        <v>3.97</v>
      </c>
      <c r="B31">
        <v>3.99</v>
      </c>
    </row>
    <row r="32" spans="1:2" x14ac:dyDescent="0.25">
      <c r="A32">
        <v>4.03</v>
      </c>
      <c r="B32">
        <v>4.01</v>
      </c>
    </row>
    <row r="33" spans="1:2" x14ac:dyDescent="0.25">
      <c r="A33">
        <v>4.05</v>
      </c>
      <c r="B33">
        <v>3.99</v>
      </c>
    </row>
    <row r="34" spans="1:2" x14ac:dyDescent="0.25">
      <c r="A34">
        <v>4.04</v>
      </c>
      <c r="B34">
        <v>4.05</v>
      </c>
    </row>
    <row r="35" spans="1:2" x14ac:dyDescent="0.25">
      <c r="A35">
        <v>4</v>
      </c>
      <c r="B35">
        <v>4.0199999999999996</v>
      </c>
    </row>
    <row r="36" spans="1:2" x14ac:dyDescent="0.25">
      <c r="A36">
        <v>3.96</v>
      </c>
      <c r="B36">
        <v>4.0199999999999996</v>
      </c>
    </row>
    <row r="37" spans="1:2" x14ac:dyDescent="0.25">
      <c r="A37">
        <v>4.09</v>
      </c>
      <c r="B37">
        <v>4.03</v>
      </c>
    </row>
    <row r="38" spans="1:2" x14ac:dyDescent="0.25">
      <c r="A38">
        <v>4.0199999999999996</v>
      </c>
      <c r="B38">
        <v>3.97</v>
      </c>
    </row>
    <row r="39" spans="1:2" x14ac:dyDescent="0.25">
      <c r="A39">
        <v>4.01</v>
      </c>
      <c r="B39">
        <v>3.99</v>
      </c>
    </row>
    <row r="40" spans="1:2" x14ac:dyDescent="0.25">
      <c r="A40">
        <v>3.99</v>
      </c>
      <c r="B40">
        <v>4</v>
      </c>
    </row>
    <row r="41" spans="1:2" x14ac:dyDescent="0.25">
      <c r="A41">
        <v>3.8</v>
      </c>
      <c r="B41">
        <v>3.97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8AFE-AFED-457C-90EB-ABD0ACAB5FE8}">
  <sheetPr>
    <tabColor rgb="FF7030A0"/>
  </sheetPr>
  <dimension ref="A2:H42"/>
  <sheetViews>
    <sheetView topLeftCell="A4" workbookViewId="0">
      <selection activeCell="I20" sqref="I20"/>
    </sheetView>
  </sheetViews>
  <sheetFormatPr baseColWidth="10" defaultRowHeight="15" x14ac:dyDescent="0.25"/>
  <cols>
    <col min="6" max="6" width="16.42578125" customWidth="1"/>
    <col min="8" max="8" width="14.42578125" customWidth="1"/>
  </cols>
  <sheetData>
    <row r="2" spans="1:7" x14ac:dyDescent="0.25">
      <c r="A2" t="s">
        <v>15</v>
      </c>
      <c r="B2" t="s">
        <v>16</v>
      </c>
      <c r="C2" t="s">
        <v>91</v>
      </c>
      <c r="D2" t="s">
        <v>92</v>
      </c>
    </row>
    <row r="3" spans="1:7" x14ac:dyDescent="0.25">
      <c r="A3">
        <v>4.01</v>
      </c>
      <c r="B3">
        <v>3.98</v>
      </c>
      <c r="C3">
        <f>A3-B3</f>
        <v>2.9999999999999805E-2</v>
      </c>
      <c r="D3">
        <f>IF(C3&gt;0,1,0)</f>
        <v>1</v>
      </c>
      <c r="F3" s="15" t="s">
        <v>31</v>
      </c>
    </row>
    <row r="4" spans="1:7" x14ac:dyDescent="0.25">
      <c r="A4" s="4">
        <v>3.97</v>
      </c>
      <c r="B4" s="4">
        <v>3.97</v>
      </c>
      <c r="C4" s="4">
        <f t="shared" ref="C4:C42" si="0">A4-B4</f>
        <v>0</v>
      </c>
      <c r="D4" s="4">
        <f t="shared" ref="D4:D42" si="1">IF(C4&gt;0,1,0)</f>
        <v>0</v>
      </c>
      <c r="F4" t="s">
        <v>90</v>
      </c>
    </row>
    <row r="5" spans="1:7" x14ac:dyDescent="0.25">
      <c r="A5">
        <v>4.0599999999999996</v>
      </c>
      <c r="B5">
        <v>4.07</v>
      </c>
      <c r="C5">
        <f t="shared" si="0"/>
        <v>-1.0000000000000675E-2</v>
      </c>
      <c r="D5">
        <f t="shared" si="1"/>
        <v>0</v>
      </c>
      <c r="F5" t="s">
        <v>96</v>
      </c>
    </row>
    <row r="6" spans="1:7" x14ac:dyDescent="0.25">
      <c r="A6">
        <v>3.96</v>
      </c>
      <c r="B6">
        <v>4.0199999999999996</v>
      </c>
      <c r="C6">
        <f t="shared" si="0"/>
        <v>-5.9999999999999609E-2</v>
      </c>
      <c r="D6">
        <f t="shared" si="1"/>
        <v>0</v>
      </c>
    </row>
    <row r="7" spans="1:7" x14ac:dyDescent="0.25">
      <c r="A7">
        <v>3.98</v>
      </c>
      <c r="B7">
        <v>3.96</v>
      </c>
      <c r="C7">
        <f t="shared" si="0"/>
        <v>2.0000000000000018E-2</v>
      </c>
      <c r="D7">
        <f t="shared" si="1"/>
        <v>1</v>
      </c>
      <c r="F7" s="15" t="s">
        <v>37</v>
      </c>
    </row>
    <row r="8" spans="1:7" x14ac:dyDescent="0.25">
      <c r="A8">
        <v>3.98</v>
      </c>
      <c r="B8">
        <v>4.0199999999999996</v>
      </c>
      <c r="C8">
        <f t="shared" si="0"/>
        <v>-3.9999999999999591E-2</v>
      </c>
      <c r="D8">
        <f t="shared" si="1"/>
        <v>0</v>
      </c>
      <c r="F8" t="s">
        <v>82</v>
      </c>
      <c r="G8">
        <f>40-4</f>
        <v>36</v>
      </c>
    </row>
    <row r="9" spans="1:7" x14ac:dyDescent="0.25">
      <c r="A9">
        <v>4.01</v>
      </c>
      <c r="B9">
        <v>3.95</v>
      </c>
      <c r="C9">
        <f t="shared" si="0"/>
        <v>5.9999999999999609E-2</v>
      </c>
      <c r="D9">
        <f t="shared" si="1"/>
        <v>1</v>
      </c>
      <c r="F9" t="s">
        <v>81</v>
      </c>
      <c r="G9">
        <f>SUM(D3:D42)</f>
        <v>14</v>
      </c>
    </row>
    <row r="10" spans="1:7" x14ac:dyDescent="0.25">
      <c r="A10">
        <v>3.95</v>
      </c>
      <c r="B10">
        <v>4.07</v>
      </c>
      <c r="C10">
        <f t="shared" si="0"/>
        <v>-0.12000000000000011</v>
      </c>
      <c r="D10">
        <f t="shared" si="1"/>
        <v>0</v>
      </c>
      <c r="F10" t="s">
        <v>93</v>
      </c>
      <c r="G10">
        <v>0.5</v>
      </c>
    </row>
    <row r="11" spans="1:7" x14ac:dyDescent="0.25">
      <c r="A11">
        <v>4.03</v>
      </c>
      <c r="B11">
        <v>3.99</v>
      </c>
      <c r="C11">
        <f t="shared" si="0"/>
        <v>4.0000000000000036E-2</v>
      </c>
      <c r="D11">
        <f t="shared" si="1"/>
        <v>1</v>
      </c>
      <c r="F11" t="s">
        <v>94</v>
      </c>
      <c r="G11">
        <v>0.01</v>
      </c>
    </row>
    <row r="12" spans="1:7" x14ac:dyDescent="0.25">
      <c r="A12">
        <v>4.07</v>
      </c>
      <c r="B12">
        <v>3.99</v>
      </c>
      <c r="C12">
        <f t="shared" si="0"/>
        <v>8.0000000000000071E-2</v>
      </c>
      <c r="D12">
        <f t="shared" si="1"/>
        <v>1</v>
      </c>
      <c r="F12" t="s">
        <v>84</v>
      </c>
      <c r="G12">
        <f>(G9-G8*G10)/SQRT(G8*G10*(1-G10))</f>
        <v>-1.3333333333333333</v>
      </c>
    </row>
    <row r="13" spans="1:7" x14ac:dyDescent="0.25">
      <c r="A13">
        <v>3.92</v>
      </c>
      <c r="B13">
        <v>3.96</v>
      </c>
      <c r="C13">
        <f t="shared" si="0"/>
        <v>-4.0000000000000036E-2</v>
      </c>
      <c r="D13">
        <f t="shared" si="1"/>
        <v>0</v>
      </c>
    </row>
    <row r="14" spans="1:7" x14ac:dyDescent="0.25">
      <c r="A14">
        <v>3.97</v>
      </c>
      <c r="B14">
        <v>4.0199999999999996</v>
      </c>
      <c r="C14">
        <f t="shared" si="0"/>
        <v>-4.9999999999999378E-2</v>
      </c>
      <c r="D14">
        <f t="shared" si="1"/>
        <v>0</v>
      </c>
      <c r="F14" s="15" t="s">
        <v>39</v>
      </c>
    </row>
    <row r="15" spans="1:7" x14ac:dyDescent="0.25">
      <c r="A15" s="4">
        <v>4.04</v>
      </c>
      <c r="B15" s="4">
        <v>4.04</v>
      </c>
      <c r="C15" s="4">
        <f t="shared" si="0"/>
        <v>0</v>
      </c>
      <c r="D15" s="4">
        <f t="shared" si="1"/>
        <v>0</v>
      </c>
      <c r="F15" t="s">
        <v>95</v>
      </c>
      <c r="G15">
        <f>_xlfn.NORM.S.INV(G11)</f>
        <v>-2.3263478740408408</v>
      </c>
    </row>
    <row r="16" spans="1:7" x14ac:dyDescent="0.25">
      <c r="A16" s="4">
        <v>4.03</v>
      </c>
      <c r="B16" s="4">
        <v>4.03</v>
      </c>
      <c r="C16" s="4">
        <f t="shared" si="0"/>
        <v>0</v>
      </c>
      <c r="D16" s="4">
        <f t="shared" si="1"/>
        <v>0</v>
      </c>
      <c r="F16" t="s">
        <v>97</v>
      </c>
    </row>
    <row r="17" spans="1:8" x14ac:dyDescent="0.25">
      <c r="A17">
        <v>3.95</v>
      </c>
      <c r="B17">
        <v>4.05</v>
      </c>
      <c r="C17">
        <f t="shared" si="0"/>
        <v>-9.9999999999999645E-2</v>
      </c>
      <c r="D17">
        <f t="shared" si="1"/>
        <v>0</v>
      </c>
      <c r="F17" s="4" t="s">
        <v>74</v>
      </c>
    </row>
    <row r="18" spans="1:8" x14ac:dyDescent="0.25">
      <c r="A18">
        <v>4.05</v>
      </c>
      <c r="B18">
        <v>4.01</v>
      </c>
      <c r="C18">
        <f t="shared" si="0"/>
        <v>4.0000000000000036E-2</v>
      </c>
      <c r="D18">
        <f t="shared" si="1"/>
        <v>1</v>
      </c>
    </row>
    <row r="19" spans="1:8" x14ac:dyDescent="0.25">
      <c r="A19">
        <v>3.98</v>
      </c>
      <c r="B19">
        <v>3.96</v>
      </c>
      <c r="C19">
        <f t="shared" si="0"/>
        <v>2.0000000000000018E-2</v>
      </c>
      <c r="D19">
        <f t="shared" si="1"/>
        <v>1</v>
      </c>
      <c r="F19" s="15" t="s">
        <v>51</v>
      </c>
    </row>
    <row r="20" spans="1:8" x14ac:dyDescent="0.25">
      <c r="A20">
        <v>4.01</v>
      </c>
      <c r="B20">
        <v>3.98</v>
      </c>
      <c r="C20">
        <f t="shared" si="0"/>
        <v>2.9999999999999805E-2</v>
      </c>
      <c r="D20">
        <f t="shared" si="1"/>
        <v>1</v>
      </c>
      <c r="F20" s="17" t="s">
        <v>98</v>
      </c>
      <c r="G20" s="17"/>
      <c r="H20" s="17"/>
    </row>
    <row r="21" spans="1:8" x14ac:dyDescent="0.25">
      <c r="A21">
        <v>4.0199999999999996</v>
      </c>
      <c r="B21">
        <v>4.05</v>
      </c>
      <c r="C21">
        <f t="shared" si="0"/>
        <v>-3.0000000000000249E-2</v>
      </c>
      <c r="D21">
        <f t="shared" si="1"/>
        <v>0</v>
      </c>
      <c r="F21" s="17" t="s">
        <v>99</v>
      </c>
      <c r="G21" s="17"/>
      <c r="H21" s="17"/>
    </row>
    <row r="22" spans="1:8" x14ac:dyDescent="0.25">
      <c r="A22">
        <v>3.99</v>
      </c>
      <c r="B22">
        <v>4.04</v>
      </c>
      <c r="C22">
        <f t="shared" si="0"/>
        <v>-4.9999999999999822E-2</v>
      </c>
      <c r="D22">
        <f t="shared" si="1"/>
        <v>0</v>
      </c>
      <c r="F22" s="17" t="s">
        <v>100</v>
      </c>
      <c r="G22" s="17"/>
      <c r="H22" s="17"/>
    </row>
    <row r="23" spans="1:8" x14ac:dyDescent="0.25">
      <c r="A23">
        <v>4.03</v>
      </c>
      <c r="B23">
        <v>4.04</v>
      </c>
      <c r="C23">
        <f t="shared" si="0"/>
        <v>-9.9999999999997868E-3</v>
      </c>
      <c r="D23">
        <f t="shared" si="1"/>
        <v>0</v>
      </c>
      <c r="F23" s="17" t="s">
        <v>101</v>
      </c>
      <c r="G23" s="17"/>
      <c r="H23" s="17"/>
    </row>
    <row r="24" spans="1:8" x14ac:dyDescent="0.25">
      <c r="A24">
        <v>3.99</v>
      </c>
      <c r="B24">
        <v>4.0199999999999996</v>
      </c>
      <c r="C24">
        <f t="shared" si="0"/>
        <v>-2.9999999999999361E-2</v>
      </c>
      <c r="D24">
        <f t="shared" si="1"/>
        <v>0</v>
      </c>
    </row>
    <row r="25" spans="1:8" x14ac:dyDescent="0.25">
      <c r="A25">
        <v>4.05</v>
      </c>
      <c r="B25">
        <v>4.03</v>
      </c>
      <c r="C25">
        <f t="shared" si="0"/>
        <v>1.9999999999999574E-2</v>
      </c>
      <c r="D25">
        <f t="shared" si="1"/>
        <v>1</v>
      </c>
    </row>
    <row r="26" spans="1:8" x14ac:dyDescent="0.25">
      <c r="A26">
        <v>3.98</v>
      </c>
      <c r="B26">
        <v>4</v>
      </c>
      <c r="C26">
        <f t="shared" si="0"/>
        <v>-2.0000000000000018E-2</v>
      </c>
      <c r="D26">
        <f t="shared" si="1"/>
        <v>0</v>
      </c>
    </row>
    <row r="27" spans="1:8" x14ac:dyDescent="0.25">
      <c r="A27" s="4">
        <v>3.99</v>
      </c>
      <c r="B27" s="4">
        <v>3.99</v>
      </c>
      <c r="C27" s="4">
        <f t="shared" si="0"/>
        <v>0</v>
      </c>
      <c r="D27" s="4">
        <f t="shared" si="1"/>
        <v>0</v>
      </c>
    </row>
    <row r="28" spans="1:8" x14ac:dyDescent="0.25">
      <c r="A28">
        <v>4.0199999999999996</v>
      </c>
      <c r="B28">
        <v>4.03</v>
      </c>
      <c r="C28">
        <f t="shared" si="0"/>
        <v>-1.0000000000000675E-2</v>
      </c>
      <c r="D28">
        <f t="shared" si="1"/>
        <v>0</v>
      </c>
    </row>
    <row r="29" spans="1:8" x14ac:dyDescent="0.25">
      <c r="A29">
        <v>3.98</v>
      </c>
      <c r="B29">
        <v>4.04</v>
      </c>
      <c r="C29">
        <f t="shared" si="0"/>
        <v>-6.0000000000000053E-2</v>
      </c>
      <c r="D29">
        <f t="shared" si="1"/>
        <v>0</v>
      </c>
    </row>
    <row r="30" spans="1:8" x14ac:dyDescent="0.25">
      <c r="A30">
        <v>4</v>
      </c>
      <c r="B30">
        <v>4.05</v>
      </c>
      <c r="C30">
        <f t="shared" si="0"/>
        <v>-4.9999999999999822E-2</v>
      </c>
      <c r="D30">
        <f t="shared" si="1"/>
        <v>0</v>
      </c>
    </row>
    <row r="31" spans="1:8" x14ac:dyDescent="0.25">
      <c r="A31">
        <v>3.96</v>
      </c>
      <c r="B31">
        <v>4.04</v>
      </c>
      <c r="C31">
        <f t="shared" si="0"/>
        <v>-8.0000000000000071E-2</v>
      </c>
      <c r="D31">
        <f t="shared" si="1"/>
        <v>0</v>
      </c>
    </row>
    <row r="32" spans="1:8" x14ac:dyDescent="0.25">
      <c r="A32">
        <v>3.97</v>
      </c>
      <c r="B32">
        <v>3.99</v>
      </c>
      <c r="C32">
        <f t="shared" si="0"/>
        <v>-2.0000000000000018E-2</v>
      </c>
      <c r="D32">
        <f t="shared" si="1"/>
        <v>0</v>
      </c>
    </row>
    <row r="33" spans="1:4" x14ac:dyDescent="0.25">
      <c r="A33">
        <v>4.03</v>
      </c>
      <c r="B33">
        <v>4.01</v>
      </c>
      <c r="C33">
        <f t="shared" si="0"/>
        <v>2.0000000000000462E-2</v>
      </c>
      <c r="D33">
        <f t="shared" si="1"/>
        <v>1</v>
      </c>
    </row>
    <row r="34" spans="1:4" x14ac:dyDescent="0.25">
      <c r="A34">
        <v>4.05</v>
      </c>
      <c r="B34">
        <v>3.99</v>
      </c>
      <c r="C34">
        <f t="shared" si="0"/>
        <v>5.9999999999999609E-2</v>
      </c>
      <c r="D34">
        <f t="shared" si="1"/>
        <v>1</v>
      </c>
    </row>
    <row r="35" spans="1:4" x14ac:dyDescent="0.25">
      <c r="A35">
        <v>4.04</v>
      </c>
      <c r="B35">
        <v>4.05</v>
      </c>
      <c r="C35">
        <f t="shared" si="0"/>
        <v>-9.9999999999997868E-3</v>
      </c>
      <c r="D35">
        <f t="shared" si="1"/>
        <v>0</v>
      </c>
    </row>
    <row r="36" spans="1:4" x14ac:dyDescent="0.25">
      <c r="A36">
        <v>4</v>
      </c>
      <c r="B36">
        <v>4.0199999999999996</v>
      </c>
      <c r="C36">
        <f t="shared" si="0"/>
        <v>-1.9999999999999574E-2</v>
      </c>
      <c r="D36">
        <f t="shared" si="1"/>
        <v>0</v>
      </c>
    </row>
    <row r="37" spans="1:4" x14ac:dyDescent="0.25">
      <c r="A37">
        <v>3.96</v>
      </c>
      <c r="B37">
        <v>4.0199999999999996</v>
      </c>
      <c r="C37">
        <f t="shared" si="0"/>
        <v>-5.9999999999999609E-2</v>
      </c>
      <c r="D37">
        <f t="shared" si="1"/>
        <v>0</v>
      </c>
    </row>
    <row r="38" spans="1:4" x14ac:dyDescent="0.25">
      <c r="A38">
        <v>4.09</v>
      </c>
      <c r="B38">
        <v>4.03</v>
      </c>
      <c r="C38">
        <f t="shared" si="0"/>
        <v>5.9999999999999609E-2</v>
      </c>
      <c r="D38">
        <f t="shared" si="1"/>
        <v>1</v>
      </c>
    </row>
    <row r="39" spans="1:4" x14ac:dyDescent="0.25">
      <c r="A39">
        <v>4.0199999999999996</v>
      </c>
      <c r="B39">
        <v>3.97</v>
      </c>
      <c r="C39">
        <f t="shared" si="0"/>
        <v>4.9999999999999378E-2</v>
      </c>
      <c r="D39">
        <f t="shared" si="1"/>
        <v>1</v>
      </c>
    </row>
    <row r="40" spans="1:4" x14ac:dyDescent="0.25">
      <c r="A40">
        <v>4.01</v>
      </c>
      <c r="B40">
        <v>3.99</v>
      </c>
      <c r="C40">
        <f t="shared" si="0"/>
        <v>1.9999999999999574E-2</v>
      </c>
      <c r="D40">
        <f t="shared" si="1"/>
        <v>1</v>
      </c>
    </row>
    <row r="41" spans="1:4" x14ac:dyDescent="0.25">
      <c r="A41">
        <v>3.99</v>
      </c>
      <c r="B41">
        <v>4</v>
      </c>
      <c r="C41">
        <f t="shared" si="0"/>
        <v>-9.9999999999997868E-3</v>
      </c>
      <c r="D41">
        <f t="shared" si="1"/>
        <v>0</v>
      </c>
    </row>
    <row r="42" spans="1:4" x14ac:dyDescent="0.25">
      <c r="A42">
        <v>3.8</v>
      </c>
      <c r="B42">
        <v>3.97</v>
      </c>
      <c r="C42">
        <f t="shared" si="0"/>
        <v>-0.17000000000000037</v>
      </c>
      <c r="D42">
        <f t="shared" si="1"/>
        <v>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1FCE0-E1A1-4F3F-B4CB-7EC28165818B}">
  <sheetPr>
    <tabColor rgb="FF7030A0"/>
  </sheetPr>
  <dimension ref="A1:J42"/>
  <sheetViews>
    <sheetView topLeftCell="A7" workbookViewId="0">
      <selection activeCell="H6" sqref="H6"/>
    </sheetView>
  </sheetViews>
  <sheetFormatPr baseColWidth="10" defaultRowHeight="15" x14ac:dyDescent="0.25"/>
  <sheetData>
    <row r="1" spans="1:8" x14ac:dyDescent="0.25">
      <c r="A1" s="25" t="s">
        <v>160</v>
      </c>
      <c r="B1" s="25"/>
    </row>
    <row r="2" spans="1:8" x14ac:dyDescent="0.25">
      <c r="A2" s="5" t="s">
        <v>15</v>
      </c>
      <c r="B2" s="5" t="s">
        <v>16</v>
      </c>
      <c r="C2" s="5" t="s">
        <v>91</v>
      </c>
      <c r="D2" s="5" t="s">
        <v>138</v>
      </c>
      <c r="E2" s="5" t="s">
        <v>103</v>
      </c>
    </row>
    <row r="3" spans="1:8" x14ac:dyDescent="0.25">
      <c r="A3" s="5">
        <v>3.8</v>
      </c>
      <c r="B3" s="5">
        <v>3.97</v>
      </c>
      <c r="C3" s="5">
        <f t="shared" ref="C3:C42" si="0">A3-B3</f>
        <v>-0.17000000000000037</v>
      </c>
      <c r="D3" s="5">
        <f t="shared" ref="D3:D42" si="1">ABS(C3)</f>
        <v>0.17000000000000037</v>
      </c>
      <c r="E3" s="5">
        <v>36</v>
      </c>
    </row>
    <row r="4" spans="1:8" x14ac:dyDescent="0.25">
      <c r="A4" s="5">
        <v>3.95</v>
      </c>
      <c r="B4" s="5">
        <v>4.07</v>
      </c>
      <c r="C4" s="5">
        <f t="shared" si="0"/>
        <v>-0.12000000000000011</v>
      </c>
      <c r="D4" s="5">
        <f t="shared" si="1"/>
        <v>0.12000000000000011</v>
      </c>
      <c r="E4" s="5">
        <v>35</v>
      </c>
      <c r="G4" s="15" t="s">
        <v>104</v>
      </c>
    </row>
    <row r="5" spans="1:8" x14ac:dyDescent="0.25">
      <c r="A5" s="5">
        <v>3.95</v>
      </c>
      <c r="B5" s="5">
        <v>4.05</v>
      </c>
      <c r="C5" s="5">
        <f t="shared" si="0"/>
        <v>-9.9999999999999645E-2</v>
      </c>
      <c r="D5" s="5">
        <f t="shared" si="1"/>
        <v>9.9999999999999645E-2</v>
      </c>
      <c r="E5" s="5">
        <v>34</v>
      </c>
      <c r="G5" t="s">
        <v>161</v>
      </c>
    </row>
    <row r="6" spans="1:8" x14ac:dyDescent="0.25">
      <c r="A6" s="5">
        <v>3.96</v>
      </c>
      <c r="B6" s="5">
        <v>4.04</v>
      </c>
      <c r="C6" s="5">
        <f t="shared" si="0"/>
        <v>-8.0000000000000071E-2</v>
      </c>
      <c r="D6" s="5">
        <f t="shared" si="1"/>
        <v>8.0000000000000071E-2</v>
      </c>
      <c r="E6" s="5">
        <v>32.5</v>
      </c>
      <c r="G6" t="s">
        <v>162</v>
      </c>
    </row>
    <row r="7" spans="1:8" x14ac:dyDescent="0.25">
      <c r="A7" s="5">
        <v>3.98</v>
      </c>
      <c r="B7" s="5">
        <v>4.04</v>
      </c>
      <c r="C7" s="5">
        <f t="shared" si="0"/>
        <v>-6.0000000000000053E-2</v>
      </c>
      <c r="D7" s="5">
        <f t="shared" si="1"/>
        <v>6.0000000000000053E-2</v>
      </c>
      <c r="E7" s="5">
        <v>28.5</v>
      </c>
    </row>
    <row r="8" spans="1:8" x14ac:dyDescent="0.25">
      <c r="A8" s="5">
        <v>3.96</v>
      </c>
      <c r="B8" s="5">
        <v>4.0199999999999996</v>
      </c>
      <c r="C8" s="5">
        <f t="shared" si="0"/>
        <v>-5.9999999999999609E-2</v>
      </c>
      <c r="D8" s="5">
        <f t="shared" si="1"/>
        <v>5.9999999999999609E-2</v>
      </c>
      <c r="E8" s="5">
        <v>28.5</v>
      </c>
      <c r="G8" s="5" t="s">
        <v>108</v>
      </c>
      <c r="H8" s="5">
        <f>SUM(E3:E24)</f>
        <v>407</v>
      </c>
    </row>
    <row r="9" spans="1:8" x14ac:dyDescent="0.25">
      <c r="A9" s="5">
        <v>3.96</v>
      </c>
      <c r="B9" s="5">
        <v>4.0199999999999996</v>
      </c>
      <c r="C9" s="5">
        <f t="shared" si="0"/>
        <v>-5.9999999999999609E-2</v>
      </c>
      <c r="D9" s="5">
        <f t="shared" si="1"/>
        <v>5.9999999999999609E-2</v>
      </c>
      <c r="E9" s="5">
        <v>28.5</v>
      </c>
      <c r="G9" s="5" t="s">
        <v>109</v>
      </c>
      <c r="H9" s="5">
        <f>SUM(E29:E42)</f>
        <v>259</v>
      </c>
    </row>
    <row r="10" spans="1:8" x14ac:dyDescent="0.25">
      <c r="A10" s="5">
        <v>3.99</v>
      </c>
      <c r="B10" s="5">
        <v>4.04</v>
      </c>
      <c r="C10" s="5">
        <f t="shared" si="0"/>
        <v>-4.9999999999999822E-2</v>
      </c>
      <c r="D10" s="5">
        <f t="shared" si="1"/>
        <v>4.9999999999999822E-2</v>
      </c>
      <c r="E10" s="5">
        <v>23.5</v>
      </c>
      <c r="G10" s="5" t="s">
        <v>110</v>
      </c>
      <c r="H10" s="5">
        <v>259</v>
      </c>
    </row>
    <row r="11" spans="1:8" x14ac:dyDescent="0.25">
      <c r="A11" s="5">
        <v>4</v>
      </c>
      <c r="B11" s="5">
        <v>4.05</v>
      </c>
      <c r="C11" s="5">
        <f t="shared" si="0"/>
        <v>-4.9999999999999822E-2</v>
      </c>
      <c r="D11" s="5">
        <f t="shared" si="1"/>
        <v>4.9999999999999822E-2</v>
      </c>
      <c r="E11" s="5">
        <v>23.5</v>
      </c>
      <c r="G11" s="22" t="s">
        <v>82</v>
      </c>
      <c r="H11" s="5">
        <v>36</v>
      </c>
    </row>
    <row r="12" spans="1:8" x14ac:dyDescent="0.25">
      <c r="A12" s="5">
        <v>3.97</v>
      </c>
      <c r="B12" s="5">
        <v>4.0199999999999996</v>
      </c>
      <c r="C12" s="5">
        <f t="shared" si="0"/>
        <v>-4.9999999999999378E-2</v>
      </c>
      <c r="D12" s="5">
        <f t="shared" si="1"/>
        <v>4.9999999999999378E-2</v>
      </c>
      <c r="E12" s="5">
        <v>23.5</v>
      </c>
      <c r="G12" s="5" t="s">
        <v>111</v>
      </c>
      <c r="H12" s="5">
        <f>H11*(H11+1)/4</f>
        <v>333</v>
      </c>
    </row>
    <row r="13" spans="1:8" x14ac:dyDescent="0.25">
      <c r="A13" s="5">
        <v>3.92</v>
      </c>
      <c r="B13" s="5">
        <v>3.96</v>
      </c>
      <c r="C13" s="5">
        <f t="shared" si="0"/>
        <v>-4.0000000000000036E-2</v>
      </c>
      <c r="D13" s="5">
        <f t="shared" si="1"/>
        <v>4.0000000000000036E-2</v>
      </c>
      <c r="E13" s="5">
        <v>19.5</v>
      </c>
      <c r="G13" s="5" t="s">
        <v>112</v>
      </c>
      <c r="H13" s="5">
        <f>H11*(H11+1)*(H11*2+1)/24</f>
        <v>4051.5</v>
      </c>
    </row>
    <row r="14" spans="1:8" x14ac:dyDescent="0.25">
      <c r="A14" s="5">
        <v>3.98</v>
      </c>
      <c r="B14" s="5">
        <v>4.0199999999999996</v>
      </c>
      <c r="C14" s="5">
        <f t="shared" si="0"/>
        <v>-3.9999999999999591E-2</v>
      </c>
      <c r="D14" s="5">
        <f t="shared" si="1"/>
        <v>3.9999999999999591E-2</v>
      </c>
      <c r="E14" s="5">
        <v>19.5</v>
      </c>
      <c r="G14" s="5" t="s">
        <v>140</v>
      </c>
      <c r="H14" s="5">
        <v>0.01</v>
      </c>
    </row>
    <row r="15" spans="1:8" x14ac:dyDescent="0.25">
      <c r="A15" s="5">
        <v>4.0199999999999996</v>
      </c>
      <c r="B15" s="5">
        <v>4.05</v>
      </c>
      <c r="C15" s="5">
        <f t="shared" si="0"/>
        <v>-3.0000000000000249E-2</v>
      </c>
      <c r="D15" s="5">
        <f t="shared" si="1"/>
        <v>3.0000000000000249E-2</v>
      </c>
      <c r="E15" s="5">
        <v>15.5</v>
      </c>
    </row>
    <row r="16" spans="1:8" x14ac:dyDescent="0.25">
      <c r="A16" s="5">
        <v>3.99</v>
      </c>
      <c r="B16" s="5">
        <v>4.0199999999999996</v>
      </c>
      <c r="C16" s="5">
        <f t="shared" si="0"/>
        <v>-2.9999999999999361E-2</v>
      </c>
      <c r="D16" s="5">
        <f t="shared" si="1"/>
        <v>2.9999999999999361E-2</v>
      </c>
      <c r="E16" s="5">
        <v>15.5</v>
      </c>
      <c r="G16" s="15" t="s">
        <v>37</v>
      </c>
    </row>
    <row r="17" spans="1:10" x14ac:dyDescent="0.25">
      <c r="A17" s="22">
        <v>3.98</v>
      </c>
      <c r="B17" s="22">
        <v>4</v>
      </c>
      <c r="C17" s="5">
        <f t="shared" si="0"/>
        <v>-2.0000000000000018E-2</v>
      </c>
      <c r="D17" s="5">
        <f t="shared" si="1"/>
        <v>2.0000000000000018E-2</v>
      </c>
      <c r="E17" s="22">
        <v>9.5</v>
      </c>
      <c r="G17" t="s">
        <v>113</v>
      </c>
      <c r="H17">
        <f>SQRT(H11*(H11+1)*(2*H11+1)/24)</f>
        <v>63.651394328796911</v>
      </c>
    </row>
    <row r="18" spans="1:10" x14ac:dyDescent="0.25">
      <c r="A18" s="5">
        <v>3.97</v>
      </c>
      <c r="B18" s="5">
        <v>3.99</v>
      </c>
      <c r="C18" s="5">
        <f t="shared" si="0"/>
        <v>-2.0000000000000018E-2</v>
      </c>
      <c r="D18" s="5">
        <f t="shared" si="1"/>
        <v>2.0000000000000018E-2</v>
      </c>
      <c r="E18" s="22">
        <v>9.5</v>
      </c>
      <c r="G18" s="17" t="s">
        <v>84</v>
      </c>
      <c r="H18" s="17">
        <f>(H9-H12)/H17</f>
        <v>-1.1625825448182086</v>
      </c>
    </row>
    <row r="19" spans="1:10" x14ac:dyDescent="0.25">
      <c r="A19" s="5">
        <v>4</v>
      </c>
      <c r="B19" s="5">
        <v>4.0199999999999996</v>
      </c>
      <c r="C19" s="5">
        <f t="shared" si="0"/>
        <v>-1.9999999999999574E-2</v>
      </c>
      <c r="D19" s="5">
        <f t="shared" si="1"/>
        <v>1.9999999999999574E-2</v>
      </c>
      <c r="E19" s="22">
        <v>9.5</v>
      </c>
    </row>
    <row r="20" spans="1:10" x14ac:dyDescent="0.25">
      <c r="A20" s="5">
        <v>4.0599999999999996</v>
      </c>
      <c r="B20" s="5">
        <v>4.07</v>
      </c>
      <c r="C20" s="5">
        <f t="shared" si="0"/>
        <v>-1.0000000000000675E-2</v>
      </c>
      <c r="D20" s="5">
        <f t="shared" si="1"/>
        <v>1.0000000000000675E-2</v>
      </c>
      <c r="E20" s="5">
        <v>3</v>
      </c>
      <c r="G20" s="15" t="s">
        <v>68</v>
      </c>
      <c r="H20" s="15"/>
    </row>
    <row r="21" spans="1:10" x14ac:dyDescent="0.25">
      <c r="A21" s="22">
        <v>4.0199999999999996</v>
      </c>
      <c r="B21" s="22">
        <v>4.03</v>
      </c>
      <c r="C21" s="5">
        <f t="shared" si="0"/>
        <v>-1.0000000000000675E-2</v>
      </c>
      <c r="D21" s="5">
        <f t="shared" si="1"/>
        <v>1.0000000000000675E-2</v>
      </c>
      <c r="E21" s="22">
        <v>3</v>
      </c>
      <c r="G21" t="s">
        <v>114</v>
      </c>
      <c r="H21">
        <f>_xlfn.NORM.S.INV(H14/2)</f>
        <v>-2.5758293035488999</v>
      </c>
    </row>
    <row r="22" spans="1:10" x14ac:dyDescent="0.25">
      <c r="A22" s="5">
        <v>4.03</v>
      </c>
      <c r="B22" s="5">
        <v>4.04</v>
      </c>
      <c r="C22" s="5">
        <f t="shared" si="0"/>
        <v>-9.9999999999997868E-3</v>
      </c>
      <c r="D22" s="5">
        <f t="shared" si="1"/>
        <v>9.9999999999997868E-3</v>
      </c>
      <c r="E22" s="5">
        <v>3</v>
      </c>
      <c r="G22" t="s">
        <v>163</v>
      </c>
    </row>
    <row r="23" spans="1:10" x14ac:dyDescent="0.25">
      <c r="A23" s="5">
        <v>4.04</v>
      </c>
      <c r="B23" s="5">
        <v>4.05</v>
      </c>
      <c r="C23" s="5">
        <f t="shared" si="0"/>
        <v>-9.9999999999997868E-3</v>
      </c>
      <c r="D23" s="5">
        <f t="shared" si="1"/>
        <v>9.9999999999997868E-3</v>
      </c>
      <c r="E23" s="5">
        <v>3</v>
      </c>
      <c r="G23" t="s">
        <v>164</v>
      </c>
    </row>
    <row r="24" spans="1:10" x14ac:dyDescent="0.25">
      <c r="A24" s="5">
        <v>3.99</v>
      </c>
      <c r="B24" s="5">
        <v>4</v>
      </c>
      <c r="C24" s="5">
        <f t="shared" si="0"/>
        <v>-9.9999999999997868E-3</v>
      </c>
      <c r="D24" s="5">
        <f t="shared" si="1"/>
        <v>9.9999999999997868E-3</v>
      </c>
      <c r="E24" s="5">
        <v>3</v>
      </c>
      <c r="G24" s="17" t="s">
        <v>74</v>
      </c>
      <c r="H24" s="17"/>
    </row>
    <row r="25" spans="1:10" x14ac:dyDescent="0.25">
      <c r="A25" s="8">
        <v>3.97</v>
      </c>
      <c r="B25" s="8">
        <v>3.97</v>
      </c>
      <c r="C25" s="8">
        <f t="shared" si="0"/>
        <v>0</v>
      </c>
      <c r="D25" s="8">
        <f t="shared" si="1"/>
        <v>0</v>
      </c>
      <c r="E25" s="8"/>
    </row>
    <row r="26" spans="1:10" x14ac:dyDescent="0.25">
      <c r="A26" s="8">
        <v>4.04</v>
      </c>
      <c r="B26" s="8">
        <v>4.04</v>
      </c>
      <c r="C26" s="8">
        <f t="shared" si="0"/>
        <v>0</v>
      </c>
      <c r="D26" s="8">
        <f t="shared" si="1"/>
        <v>0</v>
      </c>
      <c r="E26" s="8"/>
      <c r="G26" s="15" t="s">
        <v>106</v>
      </c>
    </row>
    <row r="27" spans="1:10" x14ac:dyDescent="0.25">
      <c r="A27" s="8">
        <v>4.03</v>
      </c>
      <c r="B27" s="8">
        <v>4.03</v>
      </c>
      <c r="C27" s="8">
        <f t="shared" si="0"/>
        <v>0</v>
      </c>
      <c r="D27" s="8">
        <f t="shared" si="1"/>
        <v>0</v>
      </c>
      <c r="E27" s="8"/>
      <c r="G27" s="26" t="s">
        <v>165</v>
      </c>
      <c r="H27" s="26"/>
      <c r="I27" s="26"/>
      <c r="J27" s="26"/>
    </row>
    <row r="28" spans="1:10" x14ac:dyDescent="0.25">
      <c r="A28" s="8">
        <v>3.99</v>
      </c>
      <c r="B28" s="8">
        <v>3.99</v>
      </c>
      <c r="C28" s="8">
        <f t="shared" si="0"/>
        <v>0</v>
      </c>
      <c r="D28" s="8">
        <f t="shared" si="1"/>
        <v>0</v>
      </c>
      <c r="E28" s="8"/>
      <c r="G28" s="26" t="s">
        <v>166</v>
      </c>
      <c r="H28" s="26"/>
      <c r="I28" s="26"/>
      <c r="J28" s="26"/>
    </row>
    <row r="29" spans="1:10" x14ac:dyDescent="0.25">
      <c r="A29" s="22">
        <v>4.05</v>
      </c>
      <c r="B29" s="22">
        <v>4.03</v>
      </c>
      <c r="C29" s="5">
        <f t="shared" si="0"/>
        <v>1.9999999999999574E-2</v>
      </c>
      <c r="D29" s="5">
        <f t="shared" si="1"/>
        <v>1.9999999999999574E-2</v>
      </c>
      <c r="E29" s="22">
        <v>9.5</v>
      </c>
      <c r="G29" s="26" t="s">
        <v>167</v>
      </c>
      <c r="H29" s="26"/>
      <c r="I29" s="26"/>
      <c r="J29" s="26"/>
    </row>
    <row r="30" spans="1:10" x14ac:dyDescent="0.25">
      <c r="A30" s="5">
        <v>4.01</v>
      </c>
      <c r="B30" s="5">
        <v>3.99</v>
      </c>
      <c r="C30" s="5">
        <f t="shared" si="0"/>
        <v>1.9999999999999574E-2</v>
      </c>
      <c r="D30" s="5">
        <f t="shared" si="1"/>
        <v>1.9999999999999574E-2</v>
      </c>
      <c r="E30" s="22">
        <v>9.5</v>
      </c>
    </row>
    <row r="31" spans="1:10" x14ac:dyDescent="0.25">
      <c r="A31" s="5">
        <v>3.98</v>
      </c>
      <c r="B31" s="5">
        <v>3.96</v>
      </c>
      <c r="C31" s="5">
        <f t="shared" si="0"/>
        <v>2.0000000000000018E-2</v>
      </c>
      <c r="D31" s="5">
        <f t="shared" si="1"/>
        <v>2.0000000000000018E-2</v>
      </c>
      <c r="E31" s="22">
        <v>9.5</v>
      </c>
    </row>
    <row r="32" spans="1:10" x14ac:dyDescent="0.25">
      <c r="A32" s="5">
        <v>3.98</v>
      </c>
      <c r="B32" s="5">
        <v>3.96</v>
      </c>
      <c r="C32" s="5">
        <f t="shared" si="0"/>
        <v>2.0000000000000018E-2</v>
      </c>
      <c r="D32" s="5">
        <f t="shared" si="1"/>
        <v>2.0000000000000018E-2</v>
      </c>
      <c r="E32" s="22">
        <v>9.5</v>
      </c>
    </row>
    <row r="33" spans="1:5" x14ac:dyDescent="0.25">
      <c r="A33" s="5">
        <v>4.03</v>
      </c>
      <c r="B33" s="5">
        <v>4.01</v>
      </c>
      <c r="C33" s="5">
        <f t="shared" si="0"/>
        <v>2.0000000000000462E-2</v>
      </c>
      <c r="D33" s="5">
        <f t="shared" si="1"/>
        <v>2.0000000000000462E-2</v>
      </c>
      <c r="E33" s="22">
        <v>9.5</v>
      </c>
    </row>
    <row r="34" spans="1:5" x14ac:dyDescent="0.25">
      <c r="A34" s="5">
        <v>4.01</v>
      </c>
      <c r="B34" s="5">
        <v>3.98</v>
      </c>
      <c r="C34" s="5">
        <f t="shared" si="0"/>
        <v>2.9999999999999805E-2</v>
      </c>
      <c r="D34" s="5">
        <f t="shared" si="1"/>
        <v>2.9999999999999805E-2</v>
      </c>
      <c r="E34" s="5">
        <v>15.5</v>
      </c>
    </row>
    <row r="35" spans="1:5" x14ac:dyDescent="0.25">
      <c r="A35" s="5">
        <v>4.01</v>
      </c>
      <c r="B35" s="5">
        <v>3.98</v>
      </c>
      <c r="C35" s="5">
        <f t="shared" si="0"/>
        <v>2.9999999999999805E-2</v>
      </c>
      <c r="D35" s="5">
        <f t="shared" si="1"/>
        <v>2.9999999999999805E-2</v>
      </c>
      <c r="E35" s="5">
        <v>15.5</v>
      </c>
    </row>
    <row r="36" spans="1:5" x14ac:dyDescent="0.25">
      <c r="A36" s="5">
        <v>4.03</v>
      </c>
      <c r="B36" s="5">
        <v>3.99</v>
      </c>
      <c r="C36" s="5">
        <f t="shared" si="0"/>
        <v>4.0000000000000036E-2</v>
      </c>
      <c r="D36" s="5">
        <f t="shared" si="1"/>
        <v>4.0000000000000036E-2</v>
      </c>
      <c r="E36" s="5">
        <v>19.5</v>
      </c>
    </row>
    <row r="37" spans="1:5" x14ac:dyDescent="0.25">
      <c r="A37" s="5">
        <v>4.05</v>
      </c>
      <c r="B37" s="5">
        <v>4.01</v>
      </c>
      <c r="C37" s="5">
        <f t="shared" si="0"/>
        <v>4.0000000000000036E-2</v>
      </c>
      <c r="D37" s="5">
        <f t="shared" si="1"/>
        <v>4.0000000000000036E-2</v>
      </c>
      <c r="E37" s="5">
        <v>19.5</v>
      </c>
    </row>
    <row r="38" spans="1:5" x14ac:dyDescent="0.25">
      <c r="A38" s="5">
        <v>4.0199999999999996</v>
      </c>
      <c r="B38" s="5">
        <v>3.97</v>
      </c>
      <c r="C38" s="5">
        <f t="shared" si="0"/>
        <v>4.9999999999999378E-2</v>
      </c>
      <c r="D38" s="5">
        <f t="shared" si="1"/>
        <v>4.9999999999999378E-2</v>
      </c>
      <c r="E38" s="5">
        <v>23.5</v>
      </c>
    </row>
    <row r="39" spans="1:5" x14ac:dyDescent="0.25">
      <c r="A39" s="5">
        <v>4.01</v>
      </c>
      <c r="B39" s="5">
        <v>3.95</v>
      </c>
      <c r="C39" s="5">
        <f t="shared" si="0"/>
        <v>5.9999999999999609E-2</v>
      </c>
      <c r="D39" s="5">
        <f t="shared" si="1"/>
        <v>5.9999999999999609E-2</v>
      </c>
      <c r="E39" s="5">
        <v>28.5</v>
      </c>
    </row>
    <row r="40" spans="1:5" x14ac:dyDescent="0.25">
      <c r="A40" s="5">
        <v>4.05</v>
      </c>
      <c r="B40" s="5">
        <v>3.99</v>
      </c>
      <c r="C40" s="5">
        <f t="shared" si="0"/>
        <v>5.9999999999999609E-2</v>
      </c>
      <c r="D40" s="5">
        <f t="shared" si="1"/>
        <v>5.9999999999999609E-2</v>
      </c>
      <c r="E40" s="5">
        <v>28.5</v>
      </c>
    </row>
    <row r="41" spans="1:5" x14ac:dyDescent="0.25">
      <c r="A41" s="5">
        <v>4.09</v>
      </c>
      <c r="B41" s="5">
        <v>4.03</v>
      </c>
      <c r="C41" s="5">
        <f t="shared" si="0"/>
        <v>5.9999999999999609E-2</v>
      </c>
      <c r="D41" s="5">
        <f t="shared" si="1"/>
        <v>5.9999999999999609E-2</v>
      </c>
      <c r="E41" s="5">
        <v>28.5</v>
      </c>
    </row>
    <row r="42" spans="1:5" x14ac:dyDescent="0.25">
      <c r="A42" s="5">
        <v>4.07</v>
      </c>
      <c r="B42" s="5">
        <v>3.99</v>
      </c>
      <c r="C42" s="5">
        <f t="shared" si="0"/>
        <v>8.0000000000000071E-2</v>
      </c>
      <c r="D42" s="5">
        <f t="shared" si="1"/>
        <v>8.0000000000000071E-2</v>
      </c>
      <c r="E42" s="5">
        <v>32.5</v>
      </c>
    </row>
  </sheetData>
  <sortState xmlns:xlrd2="http://schemas.microsoft.com/office/spreadsheetml/2017/richdata2" ref="A3:E42">
    <sortCondition ref="C3:C42"/>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A8118-52F3-4B75-8BE5-7FA5AF7E16AE}">
  <dimension ref="A1:A41"/>
  <sheetViews>
    <sheetView workbookViewId="0">
      <selection activeCell="A2" sqref="A2:B15"/>
    </sheetView>
  </sheetViews>
  <sheetFormatPr baseColWidth="10" defaultRowHeight="15" x14ac:dyDescent="0.25"/>
  <sheetData>
    <row r="1" spans="1:1" x14ac:dyDescent="0.25">
      <c r="A1" t="s">
        <v>10</v>
      </c>
    </row>
    <row r="2" spans="1:1" x14ac:dyDescent="0.25">
      <c r="A2">
        <v>17</v>
      </c>
    </row>
    <row r="3" spans="1:1" x14ac:dyDescent="0.25">
      <c r="A3">
        <v>15</v>
      </c>
    </row>
    <row r="4" spans="1:1" x14ac:dyDescent="0.25">
      <c r="A4">
        <v>20</v>
      </c>
    </row>
    <row r="5" spans="1:1" x14ac:dyDescent="0.25">
      <c r="A5">
        <v>29</v>
      </c>
    </row>
    <row r="6" spans="1:1" x14ac:dyDescent="0.25">
      <c r="A6">
        <v>19</v>
      </c>
    </row>
    <row r="7" spans="1:1" x14ac:dyDescent="0.25">
      <c r="A7">
        <v>18</v>
      </c>
    </row>
    <row r="8" spans="1:1" x14ac:dyDescent="0.25">
      <c r="A8">
        <v>22</v>
      </c>
    </row>
    <row r="9" spans="1:1" x14ac:dyDescent="0.25">
      <c r="A9">
        <v>25</v>
      </c>
    </row>
    <row r="10" spans="1:1" x14ac:dyDescent="0.25">
      <c r="A10">
        <v>27</v>
      </c>
    </row>
    <row r="11" spans="1:1" x14ac:dyDescent="0.25">
      <c r="A11">
        <v>9</v>
      </c>
    </row>
    <row r="12" spans="1:1" x14ac:dyDescent="0.25">
      <c r="A12">
        <v>24</v>
      </c>
    </row>
    <row r="13" spans="1:1" x14ac:dyDescent="0.25">
      <c r="A13">
        <v>20</v>
      </c>
    </row>
    <row r="14" spans="1:1" x14ac:dyDescent="0.25">
      <c r="A14">
        <v>17</v>
      </c>
    </row>
    <row r="15" spans="1:1" x14ac:dyDescent="0.25">
      <c r="A15">
        <v>6</v>
      </c>
    </row>
    <row r="16" spans="1:1" x14ac:dyDescent="0.25">
      <c r="A16">
        <v>24</v>
      </c>
    </row>
    <row r="17" spans="1:1" x14ac:dyDescent="0.25">
      <c r="A17">
        <v>14</v>
      </c>
    </row>
    <row r="18" spans="1:1" x14ac:dyDescent="0.25">
      <c r="A18">
        <v>15</v>
      </c>
    </row>
    <row r="19" spans="1:1" x14ac:dyDescent="0.25">
      <c r="A19">
        <v>23</v>
      </c>
    </row>
    <row r="20" spans="1:1" x14ac:dyDescent="0.25">
      <c r="A20">
        <v>24</v>
      </c>
    </row>
    <row r="21" spans="1:1" x14ac:dyDescent="0.25">
      <c r="A21">
        <v>26</v>
      </c>
    </row>
    <row r="22" spans="1:1" x14ac:dyDescent="0.25">
      <c r="A22">
        <v>19</v>
      </c>
    </row>
    <row r="23" spans="1:1" x14ac:dyDescent="0.25">
      <c r="A23">
        <v>23</v>
      </c>
    </row>
    <row r="24" spans="1:1" x14ac:dyDescent="0.25">
      <c r="A24">
        <v>28</v>
      </c>
    </row>
    <row r="25" spans="1:1" x14ac:dyDescent="0.25">
      <c r="A25">
        <v>19</v>
      </c>
    </row>
    <row r="26" spans="1:1" x14ac:dyDescent="0.25">
      <c r="A26">
        <v>16</v>
      </c>
    </row>
    <row r="27" spans="1:1" x14ac:dyDescent="0.25">
      <c r="A27">
        <v>22</v>
      </c>
    </row>
    <row r="28" spans="1:1" x14ac:dyDescent="0.25">
      <c r="A28">
        <v>24</v>
      </c>
    </row>
    <row r="29" spans="1:1" x14ac:dyDescent="0.25">
      <c r="A29">
        <v>17</v>
      </c>
    </row>
    <row r="30" spans="1:1" x14ac:dyDescent="0.25">
      <c r="A30">
        <v>20</v>
      </c>
    </row>
    <row r="31" spans="1:1" x14ac:dyDescent="0.25">
      <c r="A31">
        <v>13</v>
      </c>
    </row>
    <row r="32" spans="1:1" x14ac:dyDescent="0.25">
      <c r="A32">
        <v>19</v>
      </c>
    </row>
    <row r="33" spans="1:1" x14ac:dyDescent="0.25">
      <c r="A33">
        <v>10</v>
      </c>
    </row>
    <row r="34" spans="1:1" x14ac:dyDescent="0.25">
      <c r="A34">
        <v>23</v>
      </c>
    </row>
    <row r="35" spans="1:1" x14ac:dyDescent="0.25">
      <c r="A35">
        <v>18</v>
      </c>
    </row>
    <row r="36" spans="1:1" x14ac:dyDescent="0.25">
      <c r="A36">
        <v>31</v>
      </c>
    </row>
    <row r="37" spans="1:1" x14ac:dyDescent="0.25">
      <c r="A37">
        <v>13</v>
      </c>
    </row>
    <row r="38" spans="1:1" x14ac:dyDescent="0.25">
      <c r="A38">
        <v>20</v>
      </c>
    </row>
    <row r="39" spans="1:1" x14ac:dyDescent="0.25">
      <c r="A39">
        <v>17</v>
      </c>
    </row>
    <row r="40" spans="1:1" x14ac:dyDescent="0.25">
      <c r="A40">
        <v>24</v>
      </c>
    </row>
    <row r="41" spans="1:1" x14ac:dyDescent="0.25">
      <c r="A41">
        <v>14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A2" sqref="A2:B15"/>
    </sheetView>
  </sheetViews>
  <sheetFormatPr baseColWidth="10" defaultRowHeight="15" x14ac:dyDescent="0.25"/>
  <sheetData>
    <row r="1" spans="1:2" x14ac:dyDescent="0.25">
      <c r="A1" t="s">
        <v>4</v>
      </c>
      <c r="B1" t="s">
        <v>5</v>
      </c>
    </row>
    <row r="2" spans="1:2" x14ac:dyDescent="0.25">
      <c r="A2">
        <v>98.4</v>
      </c>
      <c r="B2">
        <v>82.4</v>
      </c>
    </row>
    <row r="3" spans="1:2" x14ac:dyDescent="0.25">
      <c r="A3">
        <v>96.6</v>
      </c>
      <c r="B3">
        <v>95.4</v>
      </c>
    </row>
    <row r="4" spans="1:2" x14ac:dyDescent="0.25">
      <c r="A4">
        <v>82.4</v>
      </c>
      <c r="B4">
        <v>94.2</v>
      </c>
    </row>
    <row r="5" spans="1:2" x14ac:dyDescent="0.25">
      <c r="A5">
        <v>96.3</v>
      </c>
      <c r="B5">
        <v>97.3</v>
      </c>
    </row>
    <row r="6" spans="1:2" x14ac:dyDescent="0.25">
      <c r="A6">
        <v>75.400000000000006</v>
      </c>
      <c r="B6">
        <v>77.5</v>
      </c>
    </row>
    <row r="7" spans="1:2" x14ac:dyDescent="0.25">
      <c r="A7">
        <v>82.6</v>
      </c>
      <c r="B7">
        <v>82.5</v>
      </c>
    </row>
    <row r="8" spans="1:2" x14ac:dyDescent="0.25">
      <c r="A8">
        <v>81.599999999999994</v>
      </c>
      <c r="B8">
        <v>81.599999999999994</v>
      </c>
    </row>
    <row r="9" spans="1:2" x14ac:dyDescent="0.25">
      <c r="A9">
        <v>91.4</v>
      </c>
      <c r="B9">
        <v>84.5</v>
      </c>
    </row>
    <row r="10" spans="1:2" x14ac:dyDescent="0.25">
      <c r="A10">
        <v>90.4</v>
      </c>
      <c r="B10">
        <v>89.4</v>
      </c>
    </row>
    <row r="11" spans="1:2" x14ac:dyDescent="0.25">
      <c r="A11">
        <v>92.4</v>
      </c>
      <c r="B11">
        <v>90.6</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
  <sheetViews>
    <sheetView workbookViewId="0">
      <selection activeCell="A2" sqref="A2:B15"/>
    </sheetView>
  </sheetViews>
  <sheetFormatPr baseColWidth="10" defaultRowHeight="15" x14ac:dyDescent="0.25"/>
  <sheetData>
    <row r="1" spans="1:2" x14ac:dyDescent="0.25">
      <c r="A1" t="s">
        <v>3</v>
      </c>
    </row>
    <row r="2" spans="1:2" x14ac:dyDescent="0.25">
      <c r="A2" t="s">
        <v>4</v>
      </c>
      <c r="B2" t="s">
        <v>5</v>
      </c>
    </row>
    <row r="3" spans="1:2" x14ac:dyDescent="0.25">
      <c r="A3">
        <v>29</v>
      </c>
      <c r="B3">
        <v>32</v>
      </c>
    </row>
    <row r="4" spans="1:2" x14ac:dyDescent="0.25">
      <c r="A4">
        <v>34</v>
      </c>
      <c r="B4">
        <v>19</v>
      </c>
    </row>
    <row r="5" spans="1:2" x14ac:dyDescent="0.25">
      <c r="A5">
        <v>32</v>
      </c>
      <c r="B5">
        <v>22</v>
      </c>
    </row>
    <row r="6" spans="1:2" x14ac:dyDescent="0.25">
      <c r="A6">
        <v>19</v>
      </c>
      <c r="B6">
        <v>21</v>
      </c>
    </row>
    <row r="7" spans="1:2" x14ac:dyDescent="0.25">
      <c r="A7">
        <v>31</v>
      </c>
      <c r="B7">
        <v>20</v>
      </c>
    </row>
    <row r="8" spans="1:2" x14ac:dyDescent="0.25">
      <c r="A8">
        <v>22</v>
      </c>
      <c r="B8">
        <v>24</v>
      </c>
    </row>
    <row r="9" spans="1:2" x14ac:dyDescent="0.25">
      <c r="A9">
        <v>28</v>
      </c>
      <c r="B9">
        <v>25</v>
      </c>
    </row>
    <row r="10" spans="1:2" x14ac:dyDescent="0.25">
      <c r="A10">
        <v>31</v>
      </c>
      <c r="B10">
        <v>31</v>
      </c>
    </row>
    <row r="11" spans="1:2" x14ac:dyDescent="0.25">
      <c r="A11">
        <v>32</v>
      </c>
      <c r="B11">
        <v>18</v>
      </c>
    </row>
    <row r="12" spans="1:2" x14ac:dyDescent="0.25">
      <c r="A12">
        <v>44</v>
      </c>
      <c r="B12">
        <v>22</v>
      </c>
    </row>
    <row r="13" spans="1:2" x14ac:dyDescent="0.25">
      <c r="A13">
        <v>41</v>
      </c>
      <c r="B13">
        <v>24</v>
      </c>
    </row>
    <row r="14" spans="1:2" x14ac:dyDescent="0.25">
      <c r="A14">
        <v>23</v>
      </c>
      <c r="B14">
        <v>26</v>
      </c>
    </row>
    <row r="15" spans="1:2" x14ac:dyDescent="0.25">
      <c r="A15">
        <v>34</v>
      </c>
      <c r="B15">
        <v>41</v>
      </c>
    </row>
    <row r="16" spans="1:2" x14ac:dyDescent="0.25">
      <c r="A16">
        <v>25</v>
      </c>
      <c r="B16">
        <v>34</v>
      </c>
    </row>
    <row r="17" spans="1:2" x14ac:dyDescent="0.25">
      <c r="A17">
        <v>42</v>
      </c>
      <c r="B17">
        <v>27</v>
      </c>
    </row>
    <row r="18" spans="1:2" x14ac:dyDescent="0.25">
      <c r="A18">
        <v>20</v>
      </c>
      <c r="B18">
        <v>26</v>
      </c>
    </row>
    <row r="19" spans="1:2" x14ac:dyDescent="0.25">
      <c r="A19">
        <v>25</v>
      </c>
      <c r="B19">
        <v>25</v>
      </c>
    </row>
    <row r="20" spans="1:2" x14ac:dyDescent="0.25">
      <c r="A20">
        <v>33</v>
      </c>
      <c r="B20">
        <v>31</v>
      </c>
    </row>
    <row r="21" spans="1:2" x14ac:dyDescent="0.25">
      <c r="A21">
        <v>34</v>
      </c>
      <c r="B21">
        <v>19</v>
      </c>
    </row>
    <row r="22" spans="1:2" x14ac:dyDescent="0.25">
      <c r="A22">
        <v>20</v>
      </c>
      <c r="B22">
        <v>22</v>
      </c>
    </row>
    <row r="23" spans="1:2" x14ac:dyDescent="0.25">
      <c r="A23">
        <v>21</v>
      </c>
      <c r="B23">
        <v>32</v>
      </c>
    </row>
    <row r="24" spans="1:2" x14ac:dyDescent="0.25">
      <c r="A24">
        <v>22</v>
      </c>
      <c r="B24">
        <v>31</v>
      </c>
    </row>
    <row r="25" spans="1:2" x14ac:dyDescent="0.25">
      <c r="A25">
        <v>45</v>
      </c>
      <c r="B25">
        <v>30</v>
      </c>
    </row>
    <row r="26" spans="1:2" x14ac:dyDescent="0.25">
      <c r="A26">
        <v>43</v>
      </c>
      <c r="B26">
        <v>29</v>
      </c>
    </row>
    <row r="27" spans="1:2" x14ac:dyDescent="0.25">
      <c r="A27">
        <v>31</v>
      </c>
      <c r="B27">
        <v>20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B15"/>
  <sheetViews>
    <sheetView workbookViewId="0">
      <selection activeCell="B14" sqref="B14"/>
    </sheetView>
  </sheetViews>
  <sheetFormatPr baseColWidth="10" defaultRowHeight="15" x14ac:dyDescent="0.25"/>
  <sheetData>
    <row r="1" spans="1:2" x14ac:dyDescent="0.25">
      <c r="A1" t="s">
        <v>6</v>
      </c>
    </row>
    <row r="2" spans="1:2" x14ac:dyDescent="0.25">
      <c r="A2" t="s">
        <v>7</v>
      </c>
      <c r="B2" t="s">
        <v>8</v>
      </c>
    </row>
    <row r="3" spans="1:2" x14ac:dyDescent="0.25">
      <c r="A3">
        <v>97</v>
      </c>
      <c r="B3">
        <v>88</v>
      </c>
    </row>
    <row r="4" spans="1:2" x14ac:dyDescent="0.25">
      <c r="A4">
        <v>69</v>
      </c>
      <c r="B4">
        <v>99</v>
      </c>
    </row>
    <row r="5" spans="1:2" x14ac:dyDescent="0.25">
      <c r="A5">
        <v>73</v>
      </c>
      <c r="B5">
        <v>65</v>
      </c>
    </row>
    <row r="6" spans="1:2" x14ac:dyDescent="0.25">
      <c r="A6">
        <v>84</v>
      </c>
      <c r="B6">
        <v>69</v>
      </c>
    </row>
    <row r="7" spans="1:2" x14ac:dyDescent="0.25">
      <c r="A7">
        <v>76</v>
      </c>
      <c r="B7">
        <v>97</v>
      </c>
    </row>
    <row r="8" spans="1:2" x14ac:dyDescent="0.25">
      <c r="A8">
        <v>92</v>
      </c>
      <c r="B8">
        <v>84</v>
      </c>
    </row>
    <row r="9" spans="1:2" x14ac:dyDescent="0.25">
      <c r="A9">
        <v>90</v>
      </c>
      <c r="B9">
        <v>85</v>
      </c>
    </row>
    <row r="10" spans="1:2" x14ac:dyDescent="0.25">
      <c r="A10">
        <v>88</v>
      </c>
      <c r="B10">
        <v>89</v>
      </c>
    </row>
    <row r="11" spans="1:2" x14ac:dyDescent="0.25">
      <c r="A11">
        <v>84</v>
      </c>
      <c r="B11">
        <v>91</v>
      </c>
    </row>
    <row r="12" spans="1:2" x14ac:dyDescent="0.25">
      <c r="A12">
        <v>87</v>
      </c>
      <c r="B12">
        <v>90</v>
      </c>
    </row>
    <row r="13" spans="1:2" x14ac:dyDescent="0.25">
      <c r="A13">
        <v>93</v>
      </c>
      <c r="B13">
        <v>87</v>
      </c>
    </row>
    <row r="14" spans="1:2" x14ac:dyDescent="0.25">
      <c r="B14">
        <v>91</v>
      </c>
    </row>
    <row r="15" spans="1:2" x14ac:dyDescent="0.25">
      <c r="B15">
        <v>72</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89E4F-4A83-4D2E-9180-E1D2AA6E23F0}">
  <sheetPr>
    <tabColor theme="6"/>
  </sheetPr>
  <dimension ref="A1:K34"/>
  <sheetViews>
    <sheetView topLeftCell="C10" workbookViewId="0">
      <selection activeCell="G16" sqref="G16"/>
    </sheetView>
  </sheetViews>
  <sheetFormatPr baseColWidth="10" defaultRowHeight="15" x14ac:dyDescent="0.25"/>
  <cols>
    <col min="8" max="8" width="16" customWidth="1"/>
  </cols>
  <sheetData>
    <row r="1" spans="1:8" x14ac:dyDescent="0.25">
      <c r="C1" s="25" t="s">
        <v>168</v>
      </c>
      <c r="D1" s="25"/>
    </row>
    <row r="2" spans="1:8" x14ac:dyDescent="0.25">
      <c r="A2" t="s">
        <v>7</v>
      </c>
      <c r="B2" t="s">
        <v>8</v>
      </c>
      <c r="C2" s="24" t="s">
        <v>115</v>
      </c>
      <c r="D2" s="24" t="s">
        <v>116</v>
      </c>
      <c r="E2" s="24" t="s">
        <v>103</v>
      </c>
    </row>
    <row r="3" spans="1:8" x14ac:dyDescent="0.25">
      <c r="A3">
        <v>97</v>
      </c>
      <c r="B3">
        <v>88</v>
      </c>
      <c r="C3" s="5">
        <v>69</v>
      </c>
      <c r="D3" s="5" t="s">
        <v>27</v>
      </c>
      <c r="E3" s="5">
        <v>2.5</v>
      </c>
      <c r="F3" s="21"/>
      <c r="G3" s="5" t="s">
        <v>169</v>
      </c>
      <c r="H3" s="5" t="s">
        <v>7</v>
      </c>
    </row>
    <row r="4" spans="1:8" x14ac:dyDescent="0.25">
      <c r="A4">
        <v>69</v>
      </c>
      <c r="B4">
        <v>99</v>
      </c>
      <c r="C4" s="5">
        <v>73</v>
      </c>
      <c r="D4" s="5" t="s">
        <v>27</v>
      </c>
      <c r="E4" s="5">
        <v>5</v>
      </c>
      <c r="G4" s="5" t="s">
        <v>117</v>
      </c>
      <c r="H4" s="5">
        <f>SUM(E3:E13)</f>
        <v>134.5</v>
      </c>
    </row>
    <row r="5" spans="1:8" x14ac:dyDescent="0.25">
      <c r="A5">
        <v>73</v>
      </c>
      <c r="B5">
        <v>65</v>
      </c>
      <c r="C5" s="5">
        <v>76</v>
      </c>
      <c r="D5" s="5" t="s">
        <v>27</v>
      </c>
      <c r="E5" s="5">
        <v>6</v>
      </c>
    </row>
    <row r="6" spans="1:8" x14ac:dyDescent="0.25">
      <c r="A6">
        <v>84</v>
      </c>
      <c r="B6">
        <v>69</v>
      </c>
      <c r="C6" s="5">
        <v>84</v>
      </c>
      <c r="D6" s="5" t="s">
        <v>27</v>
      </c>
      <c r="E6" s="5">
        <v>8</v>
      </c>
      <c r="G6" s="15" t="s">
        <v>104</v>
      </c>
    </row>
    <row r="7" spans="1:8" x14ac:dyDescent="0.25">
      <c r="A7">
        <v>76</v>
      </c>
      <c r="B7">
        <v>97</v>
      </c>
      <c r="C7" s="5">
        <v>84</v>
      </c>
      <c r="D7" s="5" t="s">
        <v>27</v>
      </c>
      <c r="E7" s="5">
        <v>8</v>
      </c>
      <c r="G7" t="s">
        <v>170</v>
      </c>
    </row>
    <row r="8" spans="1:8" x14ac:dyDescent="0.25">
      <c r="A8">
        <v>92</v>
      </c>
      <c r="B8">
        <v>84</v>
      </c>
      <c r="C8" s="5">
        <v>87</v>
      </c>
      <c r="D8" s="5" t="s">
        <v>27</v>
      </c>
      <c r="E8" s="5">
        <v>11.5</v>
      </c>
      <c r="G8" t="s">
        <v>171</v>
      </c>
    </row>
    <row r="9" spans="1:8" x14ac:dyDescent="0.25">
      <c r="A9">
        <v>90</v>
      </c>
      <c r="B9">
        <v>85</v>
      </c>
      <c r="C9" s="5">
        <v>88</v>
      </c>
      <c r="D9" s="5" t="s">
        <v>27</v>
      </c>
      <c r="E9" s="5">
        <v>13.5</v>
      </c>
    </row>
    <row r="10" spans="1:8" x14ac:dyDescent="0.25">
      <c r="A10">
        <v>88</v>
      </c>
      <c r="B10">
        <v>89</v>
      </c>
      <c r="C10" s="5">
        <v>90</v>
      </c>
      <c r="D10" s="5" t="s">
        <v>27</v>
      </c>
      <c r="E10" s="5">
        <v>16.5</v>
      </c>
      <c r="G10" s="15" t="s">
        <v>37</v>
      </c>
    </row>
    <row r="11" spans="1:8" x14ac:dyDescent="0.25">
      <c r="A11">
        <v>84</v>
      </c>
      <c r="B11">
        <v>91</v>
      </c>
      <c r="C11" s="5">
        <v>92</v>
      </c>
      <c r="D11" s="5" t="s">
        <v>27</v>
      </c>
      <c r="E11" s="5">
        <v>20</v>
      </c>
      <c r="G11" s="5" t="s">
        <v>172</v>
      </c>
      <c r="H11" s="5">
        <v>11</v>
      </c>
    </row>
    <row r="12" spans="1:8" x14ac:dyDescent="0.25">
      <c r="A12">
        <v>87</v>
      </c>
      <c r="B12">
        <v>90</v>
      </c>
      <c r="C12" s="5">
        <v>93</v>
      </c>
      <c r="D12" s="5" t="s">
        <v>27</v>
      </c>
      <c r="E12" s="5">
        <v>21</v>
      </c>
      <c r="G12" s="5" t="s">
        <v>173</v>
      </c>
      <c r="H12" s="5">
        <v>13</v>
      </c>
    </row>
    <row r="13" spans="1:8" ht="15.75" thickBot="1" x14ac:dyDescent="0.3">
      <c r="A13">
        <v>93</v>
      </c>
      <c r="B13">
        <v>87</v>
      </c>
      <c r="C13" s="28">
        <v>97</v>
      </c>
      <c r="D13" s="28" t="s">
        <v>27</v>
      </c>
      <c r="E13" s="28">
        <v>22.5</v>
      </c>
      <c r="G13" s="17" t="s">
        <v>118</v>
      </c>
      <c r="H13" s="17">
        <f>H11*H12+((H11*12)/2)-H4</f>
        <v>74.5</v>
      </c>
    </row>
    <row r="14" spans="1:8" x14ac:dyDescent="0.25">
      <c r="B14">
        <v>91</v>
      </c>
      <c r="C14" s="27">
        <v>65</v>
      </c>
      <c r="D14" s="27" t="s">
        <v>28</v>
      </c>
      <c r="E14" s="27">
        <v>1</v>
      </c>
      <c r="F14" s="21"/>
    </row>
    <row r="15" spans="1:8" x14ac:dyDescent="0.25">
      <c r="B15">
        <v>72</v>
      </c>
      <c r="C15" s="5">
        <v>69</v>
      </c>
      <c r="D15" s="5" t="s">
        <v>28</v>
      </c>
      <c r="E15" s="5">
        <v>2.5</v>
      </c>
      <c r="G15" s="15" t="s">
        <v>39</v>
      </c>
      <c r="H15" s="15"/>
    </row>
    <row r="16" spans="1:8" x14ac:dyDescent="0.25">
      <c r="C16" s="5">
        <v>72</v>
      </c>
      <c r="D16" s="5" t="s">
        <v>28</v>
      </c>
      <c r="E16" s="5">
        <v>4</v>
      </c>
      <c r="G16" s="5" t="s">
        <v>140</v>
      </c>
      <c r="H16" s="5">
        <v>0.1</v>
      </c>
    </row>
    <row r="17" spans="3:11" x14ac:dyDescent="0.25">
      <c r="C17" s="5">
        <v>84</v>
      </c>
      <c r="D17" s="5" t="s">
        <v>28</v>
      </c>
      <c r="E17" s="5">
        <v>8</v>
      </c>
      <c r="G17" s="21" t="s">
        <v>174</v>
      </c>
      <c r="H17" t="s">
        <v>175</v>
      </c>
      <c r="I17" s="4" t="s">
        <v>194</v>
      </c>
      <c r="J17" s="4"/>
      <c r="K17" s="4"/>
    </row>
    <row r="18" spans="3:11" x14ac:dyDescent="0.25">
      <c r="C18" s="5">
        <v>85</v>
      </c>
      <c r="D18" s="5" t="s">
        <v>28</v>
      </c>
      <c r="E18" s="5">
        <v>10</v>
      </c>
      <c r="G18" s="21" t="s">
        <v>176</v>
      </c>
      <c r="I18" s="4" t="s">
        <v>195</v>
      </c>
      <c r="J18" s="4"/>
      <c r="K18" s="4"/>
    </row>
    <row r="19" spans="3:11" x14ac:dyDescent="0.25">
      <c r="C19" s="5">
        <v>87</v>
      </c>
      <c r="D19" s="5" t="s">
        <v>28</v>
      </c>
      <c r="E19" s="5">
        <v>11.5</v>
      </c>
      <c r="G19" s="21" t="s">
        <v>193</v>
      </c>
    </row>
    <row r="20" spans="3:11" x14ac:dyDescent="0.25">
      <c r="C20" s="5">
        <v>88</v>
      </c>
      <c r="D20" s="5" t="s">
        <v>28</v>
      </c>
      <c r="E20" s="5">
        <v>13.5</v>
      </c>
    </row>
    <row r="21" spans="3:11" x14ac:dyDescent="0.25">
      <c r="C21" s="5">
        <v>89</v>
      </c>
      <c r="D21" s="5" t="s">
        <v>28</v>
      </c>
      <c r="E21" s="5">
        <v>15</v>
      </c>
      <c r="G21" s="5" t="s">
        <v>119</v>
      </c>
      <c r="H21" s="5">
        <f>H11*H12/2</f>
        <v>71.5</v>
      </c>
    </row>
    <row r="22" spans="3:11" x14ac:dyDescent="0.25">
      <c r="C22" s="5">
        <v>90</v>
      </c>
      <c r="D22" s="5" t="s">
        <v>28</v>
      </c>
      <c r="E22" s="5">
        <v>16.5</v>
      </c>
      <c r="G22" s="5" t="s">
        <v>120</v>
      </c>
      <c r="H22" s="5">
        <f>H11*H12*(H11+H12+1)/12</f>
        <v>297.91666666666669</v>
      </c>
    </row>
    <row r="23" spans="3:11" x14ac:dyDescent="0.25">
      <c r="C23" s="5">
        <v>91</v>
      </c>
      <c r="D23" s="5" t="s">
        <v>28</v>
      </c>
      <c r="E23" s="5">
        <v>18.5</v>
      </c>
      <c r="G23" s="29" t="s">
        <v>84</v>
      </c>
      <c r="H23" s="29">
        <f>(H13-H21)/SQRT(H22)</f>
        <v>0.17380963785069634</v>
      </c>
    </row>
    <row r="24" spans="3:11" x14ac:dyDescent="0.25">
      <c r="C24" s="5">
        <v>91</v>
      </c>
      <c r="D24" s="5" t="s">
        <v>28</v>
      </c>
      <c r="E24" s="5">
        <v>18.5</v>
      </c>
      <c r="G24" s="5" t="s">
        <v>121</v>
      </c>
      <c r="H24" s="5">
        <f>_xlfn.NORM.S.INV(H16/2)</f>
        <v>-1.6448536269514726</v>
      </c>
    </row>
    <row r="25" spans="3:11" x14ac:dyDescent="0.25">
      <c r="C25" s="5">
        <v>97</v>
      </c>
      <c r="D25" s="5" t="s">
        <v>28</v>
      </c>
      <c r="E25" s="5">
        <v>22.5</v>
      </c>
    </row>
    <row r="26" spans="3:11" x14ac:dyDescent="0.25">
      <c r="C26" s="5">
        <v>99</v>
      </c>
      <c r="D26" s="5" t="s">
        <v>28</v>
      </c>
      <c r="E26" s="5">
        <v>24</v>
      </c>
      <c r="G26" t="s">
        <v>177</v>
      </c>
    </row>
    <row r="27" spans="3:11" x14ac:dyDescent="0.25">
      <c r="G27" t="s">
        <v>178</v>
      </c>
    </row>
    <row r="28" spans="3:11" x14ac:dyDescent="0.25">
      <c r="G28" s="17" t="s">
        <v>74</v>
      </c>
      <c r="H28" s="17"/>
    </row>
    <row r="30" spans="3:11" x14ac:dyDescent="0.25">
      <c r="G30" s="15" t="s">
        <v>106</v>
      </c>
    </row>
    <row r="31" spans="3:11" x14ac:dyDescent="0.25">
      <c r="G31" s="17" t="s">
        <v>179</v>
      </c>
      <c r="H31" s="17"/>
      <c r="I31" s="17"/>
      <c r="J31" s="17"/>
    </row>
    <row r="32" spans="3:11" x14ac:dyDescent="0.25">
      <c r="G32" s="17" t="s">
        <v>180</v>
      </c>
      <c r="H32" s="17"/>
      <c r="I32" s="17"/>
      <c r="J32" s="17"/>
    </row>
    <row r="33" spans="7:10" x14ac:dyDescent="0.25">
      <c r="G33" s="17" t="s">
        <v>181</v>
      </c>
      <c r="H33" s="17"/>
      <c r="I33" s="17"/>
      <c r="J33" s="17"/>
    </row>
    <row r="34" spans="7:10" x14ac:dyDescent="0.25">
      <c r="G34" s="17" t="s">
        <v>182</v>
      </c>
      <c r="H34" s="17"/>
      <c r="I34" s="17"/>
      <c r="J34" s="17"/>
    </row>
  </sheetData>
  <sortState xmlns:xlrd2="http://schemas.microsoft.com/office/spreadsheetml/2017/richdata2" ref="C3:E26">
    <sortCondition ref="D3:D26"/>
  </sortState>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5ED15-315C-448C-8B45-92A0F8AAFE89}">
  <sheetPr>
    <tabColor theme="5"/>
  </sheetPr>
  <dimension ref="A1:C9"/>
  <sheetViews>
    <sheetView workbookViewId="0">
      <selection activeCell="E16" sqref="E16"/>
    </sheetView>
  </sheetViews>
  <sheetFormatPr baseColWidth="10" defaultRowHeight="15" x14ac:dyDescent="0.25"/>
  <sheetData>
    <row r="1" spans="1:3" x14ac:dyDescent="0.25">
      <c r="A1" t="s">
        <v>17</v>
      </c>
      <c r="B1" t="s">
        <v>18</v>
      </c>
      <c r="C1" t="s">
        <v>19</v>
      </c>
    </row>
    <row r="2" spans="1:3" x14ac:dyDescent="0.25">
      <c r="A2">
        <v>20</v>
      </c>
      <c r="B2">
        <v>14.5</v>
      </c>
      <c r="C2">
        <v>9</v>
      </c>
    </row>
    <row r="3" spans="1:3" x14ac:dyDescent="0.25">
      <c r="A3">
        <v>6.5</v>
      </c>
      <c r="B3">
        <v>16.5</v>
      </c>
      <c r="C3">
        <v>1</v>
      </c>
    </row>
    <row r="4" spans="1:3" x14ac:dyDescent="0.25">
      <c r="A4">
        <v>21</v>
      </c>
      <c r="B4">
        <v>4.5</v>
      </c>
      <c r="C4">
        <v>9</v>
      </c>
    </row>
    <row r="5" spans="1:3" x14ac:dyDescent="0.25">
      <c r="A5">
        <v>16.5</v>
      </c>
      <c r="B5">
        <v>2.5</v>
      </c>
      <c r="C5">
        <v>4.5</v>
      </c>
    </row>
    <row r="6" spans="1:3" x14ac:dyDescent="0.25">
      <c r="A6">
        <v>12</v>
      </c>
      <c r="B6">
        <v>14.5</v>
      </c>
      <c r="C6">
        <v>6.5</v>
      </c>
    </row>
    <row r="7" spans="1:3" x14ac:dyDescent="0.25">
      <c r="A7">
        <v>18.5</v>
      </c>
      <c r="B7">
        <v>12</v>
      </c>
      <c r="C7">
        <v>2.5</v>
      </c>
    </row>
    <row r="8" spans="1:3" x14ac:dyDescent="0.25">
      <c r="A8">
        <v>9</v>
      </c>
      <c r="B8">
        <v>18.5</v>
      </c>
      <c r="C8">
        <v>12</v>
      </c>
    </row>
    <row r="9" spans="1:3" x14ac:dyDescent="0.25">
      <c r="A9">
        <v>10.5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453C8-702B-4401-9E3B-D92A630B0171}">
  <sheetPr>
    <tabColor theme="4"/>
  </sheetPr>
  <dimension ref="A1:G59"/>
  <sheetViews>
    <sheetView topLeftCell="B1" workbookViewId="0">
      <selection activeCell="C13" sqref="C13"/>
    </sheetView>
  </sheetViews>
  <sheetFormatPr baseColWidth="10" defaultRowHeight="15" x14ac:dyDescent="0.25"/>
  <cols>
    <col min="3" max="3" width="15.140625" customWidth="1"/>
    <col min="4" max="4" width="17" customWidth="1"/>
    <col min="5" max="5" width="26.140625" customWidth="1"/>
    <col min="6" max="6" width="21.5703125" customWidth="1"/>
  </cols>
  <sheetData>
    <row r="1" spans="1:7" x14ac:dyDescent="0.25">
      <c r="A1" t="s">
        <v>9</v>
      </c>
      <c r="B1" t="s">
        <v>36</v>
      </c>
    </row>
    <row r="2" spans="1:7" x14ac:dyDescent="0.25">
      <c r="A2">
        <v>163</v>
      </c>
      <c r="B2">
        <f>IF(A2&gt;160,1,0)</f>
        <v>1</v>
      </c>
    </row>
    <row r="3" spans="1:7" x14ac:dyDescent="0.25">
      <c r="A3">
        <v>165</v>
      </c>
      <c r="B3">
        <f t="shared" ref="B3:B21" si="0">IF(A3&gt;160,1,0)</f>
        <v>1</v>
      </c>
      <c r="D3" s="15" t="s">
        <v>31</v>
      </c>
    </row>
    <row r="4" spans="1:7" x14ac:dyDescent="0.25">
      <c r="A4" s="4">
        <v>160</v>
      </c>
      <c r="B4" s="4">
        <f t="shared" si="0"/>
        <v>0</v>
      </c>
      <c r="C4" t="s">
        <v>42</v>
      </c>
      <c r="D4" t="s">
        <v>32</v>
      </c>
    </row>
    <row r="5" spans="1:7" x14ac:dyDescent="0.25">
      <c r="A5">
        <v>189</v>
      </c>
      <c r="B5">
        <f t="shared" si="0"/>
        <v>1</v>
      </c>
      <c r="D5" t="s">
        <v>33</v>
      </c>
    </row>
    <row r="6" spans="1:7" x14ac:dyDescent="0.25">
      <c r="A6">
        <v>161</v>
      </c>
      <c r="B6">
        <f t="shared" si="0"/>
        <v>1</v>
      </c>
    </row>
    <row r="7" spans="1:7" x14ac:dyDescent="0.25">
      <c r="A7">
        <v>171</v>
      </c>
      <c r="B7">
        <f t="shared" si="0"/>
        <v>1</v>
      </c>
      <c r="D7" t="s">
        <v>34</v>
      </c>
    </row>
    <row r="8" spans="1:7" x14ac:dyDescent="0.25">
      <c r="A8">
        <v>158</v>
      </c>
      <c r="B8">
        <f t="shared" si="0"/>
        <v>0</v>
      </c>
      <c r="D8" t="s">
        <v>35</v>
      </c>
    </row>
    <row r="9" spans="1:7" x14ac:dyDescent="0.25">
      <c r="A9">
        <v>151</v>
      </c>
      <c r="B9">
        <f t="shared" si="0"/>
        <v>0</v>
      </c>
    </row>
    <row r="10" spans="1:7" x14ac:dyDescent="0.25">
      <c r="A10">
        <v>169</v>
      </c>
      <c r="B10">
        <f t="shared" si="0"/>
        <v>1</v>
      </c>
      <c r="D10" s="15" t="s">
        <v>37</v>
      </c>
    </row>
    <row r="11" spans="1:7" x14ac:dyDescent="0.25">
      <c r="A11">
        <v>162</v>
      </c>
      <c r="B11">
        <f t="shared" si="0"/>
        <v>1</v>
      </c>
      <c r="D11" t="s">
        <v>38</v>
      </c>
    </row>
    <row r="12" spans="1:7" x14ac:dyDescent="0.25">
      <c r="A12">
        <v>163</v>
      </c>
      <c r="B12">
        <f t="shared" si="0"/>
        <v>1</v>
      </c>
    </row>
    <row r="13" spans="1:7" x14ac:dyDescent="0.25">
      <c r="A13">
        <v>139</v>
      </c>
      <c r="B13">
        <f t="shared" si="0"/>
        <v>0</v>
      </c>
      <c r="D13" s="15" t="s">
        <v>39</v>
      </c>
    </row>
    <row r="14" spans="1:7" x14ac:dyDescent="0.25">
      <c r="A14">
        <v>172</v>
      </c>
      <c r="B14">
        <f t="shared" si="0"/>
        <v>1</v>
      </c>
    </row>
    <row r="15" spans="1:7" x14ac:dyDescent="0.25">
      <c r="A15">
        <v>165</v>
      </c>
      <c r="B15">
        <f t="shared" si="0"/>
        <v>1</v>
      </c>
      <c r="D15" s="7" t="s">
        <v>40</v>
      </c>
      <c r="E15" s="7" t="s">
        <v>41</v>
      </c>
      <c r="F15" s="7" t="s">
        <v>47</v>
      </c>
    </row>
    <row r="16" spans="1:7" x14ac:dyDescent="0.25">
      <c r="A16">
        <v>148</v>
      </c>
      <c r="B16">
        <f t="shared" si="0"/>
        <v>0</v>
      </c>
      <c r="D16" s="5">
        <v>19</v>
      </c>
      <c r="E16" s="5" t="s">
        <v>43</v>
      </c>
      <c r="F16" s="5">
        <f>_xlfn.BINOM.DIST(19,19,0.5,0)</f>
        <v>1.9073486328125E-6</v>
      </c>
      <c r="G16" t="s">
        <v>48</v>
      </c>
    </row>
    <row r="17" spans="1:7" x14ac:dyDescent="0.25">
      <c r="A17">
        <v>166</v>
      </c>
      <c r="B17">
        <f t="shared" si="0"/>
        <v>1</v>
      </c>
      <c r="D17" s="5">
        <f>D16-1</f>
        <v>18</v>
      </c>
      <c r="E17" s="5" t="s">
        <v>44</v>
      </c>
      <c r="F17" s="5">
        <f>_xlfn.BINOM.DIST(D17,19,0.5,0)+F16</f>
        <v>3.8146972656249966E-5</v>
      </c>
      <c r="G17" t="s">
        <v>48</v>
      </c>
    </row>
    <row r="18" spans="1:7" x14ac:dyDescent="0.25">
      <c r="A18">
        <v>172</v>
      </c>
      <c r="B18">
        <f t="shared" si="0"/>
        <v>1</v>
      </c>
      <c r="D18" s="5">
        <f t="shared" ref="D18:D20" si="1">D17-1</f>
        <v>17</v>
      </c>
      <c r="E18" s="5" t="s">
        <v>45</v>
      </c>
      <c r="F18" s="5">
        <f>_xlfn.BINOM.DIST(D18,19,0.5,0)+F17</f>
        <v>3.6430358886718734E-4</v>
      </c>
      <c r="G18" t="s">
        <v>48</v>
      </c>
    </row>
    <row r="19" spans="1:7" x14ac:dyDescent="0.25">
      <c r="A19">
        <v>163</v>
      </c>
      <c r="B19">
        <f t="shared" si="0"/>
        <v>1</v>
      </c>
      <c r="D19" s="5">
        <f t="shared" si="1"/>
        <v>16</v>
      </c>
      <c r="E19" s="5" t="s">
        <v>46</v>
      </c>
      <c r="F19" s="5">
        <f t="shared" ref="F19:F24" si="2">_xlfn.BINOM.DIST(D19,19,0.5,0)+F18</f>
        <v>2.2125244140625009E-3</v>
      </c>
      <c r="G19" t="s">
        <v>48</v>
      </c>
    </row>
    <row r="20" spans="1:7" x14ac:dyDescent="0.25">
      <c r="A20">
        <v>187</v>
      </c>
      <c r="B20">
        <f t="shared" si="0"/>
        <v>1</v>
      </c>
      <c r="D20" s="5">
        <f t="shared" si="1"/>
        <v>15</v>
      </c>
      <c r="E20" s="5" t="s">
        <v>46</v>
      </c>
      <c r="F20" s="5">
        <f t="shared" si="2"/>
        <v>9.6054077148437535E-3</v>
      </c>
      <c r="G20" t="s">
        <v>48</v>
      </c>
    </row>
    <row r="21" spans="1:7" x14ac:dyDescent="0.25">
      <c r="A21">
        <v>173</v>
      </c>
      <c r="B21">
        <f t="shared" si="0"/>
        <v>1</v>
      </c>
      <c r="D21" s="5">
        <f>D20-1</f>
        <v>14</v>
      </c>
      <c r="E21" s="5" t="s">
        <v>46</v>
      </c>
      <c r="F21" s="5">
        <f t="shared" si="2"/>
        <v>3.17840576171875E-2</v>
      </c>
      <c r="G21" t="s">
        <v>48</v>
      </c>
    </row>
    <row r="22" spans="1:7" x14ac:dyDescent="0.25">
      <c r="B22">
        <f>SUM(B2:B21)</f>
        <v>15</v>
      </c>
      <c r="D22" s="8">
        <f t="shared" ref="D22:D24" si="3">D21-1</f>
        <v>13</v>
      </c>
      <c r="E22" s="8" t="s">
        <v>46</v>
      </c>
      <c r="F22" s="8">
        <f t="shared" si="2"/>
        <v>8.353424072265625E-2</v>
      </c>
      <c r="G22" t="s">
        <v>48</v>
      </c>
    </row>
    <row r="23" spans="1:7" x14ac:dyDescent="0.25">
      <c r="D23" s="5">
        <f t="shared" si="3"/>
        <v>12</v>
      </c>
      <c r="E23" s="5" t="s">
        <v>46</v>
      </c>
      <c r="F23" s="5">
        <f t="shared" si="2"/>
        <v>0.1796417236328125</v>
      </c>
    </row>
    <row r="24" spans="1:7" x14ac:dyDescent="0.25">
      <c r="D24" s="5">
        <f t="shared" si="3"/>
        <v>11</v>
      </c>
      <c r="E24" s="5" t="s">
        <v>46</v>
      </c>
      <c r="F24" s="5">
        <f t="shared" si="2"/>
        <v>0.32380294799804688</v>
      </c>
    </row>
    <row r="26" spans="1:7" x14ac:dyDescent="0.25">
      <c r="D26" t="s">
        <v>49</v>
      </c>
    </row>
    <row r="27" spans="1:7" x14ac:dyDescent="0.25">
      <c r="D27" s="4" t="s">
        <v>50</v>
      </c>
    </row>
    <row r="30" spans="1:7" x14ac:dyDescent="0.25">
      <c r="D30" s="15" t="s">
        <v>51</v>
      </c>
    </row>
    <row r="31" spans="1:7" x14ac:dyDescent="0.25">
      <c r="D31" s="9" t="s">
        <v>52</v>
      </c>
      <c r="E31" s="10"/>
      <c r="F31" s="11"/>
    </row>
    <row r="32" spans="1:7" x14ac:dyDescent="0.25">
      <c r="D32" s="12" t="s">
        <v>53</v>
      </c>
      <c r="E32" s="13"/>
      <c r="F32" s="14"/>
    </row>
    <row r="37" spans="1:6" x14ac:dyDescent="0.25">
      <c r="A37" t="s">
        <v>9</v>
      </c>
      <c r="B37" t="s">
        <v>36</v>
      </c>
      <c r="D37" s="15" t="s">
        <v>31</v>
      </c>
    </row>
    <row r="38" spans="1:6" x14ac:dyDescent="0.25">
      <c r="A38">
        <v>163</v>
      </c>
      <c r="B38">
        <f>IF(A38&gt;180,1,0)</f>
        <v>0</v>
      </c>
      <c r="D38" t="s">
        <v>54</v>
      </c>
    </row>
    <row r="39" spans="1:6" x14ac:dyDescent="0.25">
      <c r="A39">
        <v>165</v>
      </c>
      <c r="B39">
        <f t="shared" ref="B39:B57" si="4">IF(A39&gt;180,1,0)</f>
        <v>0</v>
      </c>
      <c r="D39" t="s">
        <v>55</v>
      </c>
    </row>
    <row r="40" spans="1:6" x14ac:dyDescent="0.25">
      <c r="A40" s="16">
        <v>160</v>
      </c>
      <c r="B40">
        <f t="shared" si="4"/>
        <v>0</v>
      </c>
    </row>
    <row r="41" spans="1:6" x14ac:dyDescent="0.25">
      <c r="A41">
        <v>189</v>
      </c>
      <c r="B41">
        <f t="shared" si="4"/>
        <v>1</v>
      </c>
      <c r="D41" s="15" t="s">
        <v>37</v>
      </c>
    </row>
    <row r="42" spans="1:6" x14ac:dyDescent="0.25">
      <c r="A42">
        <v>161</v>
      </c>
      <c r="B42">
        <f t="shared" si="4"/>
        <v>0</v>
      </c>
      <c r="D42" t="s">
        <v>56</v>
      </c>
    </row>
    <row r="43" spans="1:6" x14ac:dyDescent="0.25">
      <c r="A43">
        <v>171</v>
      </c>
      <c r="B43">
        <f t="shared" si="4"/>
        <v>0</v>
      </c>
    </row>
    <row r="44" spans="1:6" x14ac:dyDescent="0.25">
      <c r="A44">
        <v>158</v>
      </c>
      <c r="B44">
        <f t="shared" si="4"/>
        <v>0</v>
      </c>
      <c r="D44" s="15" t="s">
        <v>39</v>
      </c>
    </row>
    <row r="45" spans="1:6" x14ac:dyDescent="0.25">
      <c r="A45">
        <v>151</v>
      </c>
      <c r="B45">
        <f t="shared" si="4"/>
        <v>0</v>
      </c>
    </row>
    <row r="46" spans="1:6" x14ac:dyDescent="0.25">
      <c r="A46">
        <v>169</v>
      </c>
      <c r="B46">
        <f t="shared" si="4"/>
        <v>0</v>
      </c>
      <c r="D46" s="7" t="s">
        <v>40</v>
      </c>
      <c r="E46" s="7" t="s">
        <v>41</v>
      </c>
      <c r="F46" s="7" t="s">
        <v>47</v>
      </c>
    </row>
    <row r="47" spans="1:6" x14ac:dyDescent="0.25">
      <c r="A47">
        <v>162</v>
      </c>
      <c r="B47">
        <f t="shared" si="4"/>
        <v>0</v>
      </c>
      <c r="D47" s="5">
        <v>9</v>
      </c>
      <c r="E47" s="5" t="s">
        <v>61</v>
      </c>
      <c r="F47" s="5">
        <f t="shared" ref="F47:F54" si="5">_xlfn.BINOM.DIST(D47,20,0.5,0) + F48</f>
        <v>0.41190147399902333</v>
      </c>
    </row>
    <row r="48" spans="1:6" x14ac:dyDescent="0.25">
      <c r="A48">
        <v>163</v>
      </c>
      <c r="B48">
        <f t="shared" si="4"/>
        <v>0</v>
      </c>
      <c r="D48" s="5">
        <f>D47-1</f>
        <v>8</v>
      </c>
      <c r="E48" s="5" t="s">
        <v>61</v>
      </c>
      <c r="F48" s="5">
        <f t="shared" si="5"/>
        <v>0.25172233581542963</v>
      </c>
    </row>
    <row r="49" spans="1:7" x14ac:dyDescent="0.25">
      <c r="A49">
        <v>139</v>
      </c>
      <c r="B49">
        <f t="shared" si="4"/>
        <v>0</v>
      </c>
      <c r="D49" s="5">
        <f t="shared" ref="D49:D55" si="6">D48-1</f>
        <v>7</v>
      </c>
      <c r="E49" s="5" t="s">
        <v>61</v>
      </c>
      <c r="F49" s="5">
        <f t="shared" si="5"/>
        <v>0.13158798217773432</v>
      </c>
    </row>
    <row r="50" spans="1:7" x14ac:dyDescent="0.25">
      <c r="A50">
        <v>172</v>
      </c>
      <c r="B50">
        <f t="shared" si="4"/>
        <v>0</v>
      </c>
      <c r="D50" s="8">
        <f t="shared" si="6"/>
        <v>6</v>
      </c>
      <c r="E50" s="8" t="s">
        <v>61</v>
      </c>
      <c r="F50" s="8">
        <f t="shared" si="5"/>
        <v>5.7659149169921875E-2</v>
      </c>
      <c r="G50" t="s">
        <v>48</v>
      </c>
    </row>
    <row r="51" spans="1:7" x14ac:dyDescent="0.25">
      <c r="A51">
        <v>165</v>
      </c>
      <c r="B51">
        <f t="shared" si="4"/>
        <v>0</v>
      </c>
      <c r="D51" s="5">
        <f t="shared" si="6"/>
        <v>5</v>
      </c>
      <c r="E51" s="5" t="s">
        <v>61</v>
      </c>
      <c r="F51" s="5">
        <f t="shared" si="5"/>
        <v>2.0694732666015622E-2</v>
      </c>
      <c r="G51" t="s">
        <v>48</v>
      </c>
    </row>
    <row r="52" spans="1:7" x14ac:dyDescent="0.25">
      <c r="A52">
        <v>148</v>
      </c>
      <c r="B52">
        <f t="shared" si="4"/>
        <v>0</v>
      </c>
      <c r="D52" s="5">
        <f t="shared" si="6"/>
        <v>4</v>
      </c>
      <c r="E52" s="5" t="s">
        <v>61</v>
      </c>
      <c r="F52" s="5">
        <f t="shared" si="5"/>
        <v>5.9089660644531198E-3</v>
      </c>
      <c r="G52" t="s">
        <v>48</v>
      </c>
    </row>
    <row r="53" spans="1:7" x14ac:dyDescent="0.25">
      <c r="A53">
        <v>166</v>
      </c>
      <c r="B53">
        <f t="shared" si="4"/>
        <v>0</v>
      </c>
      <c r="D53" s="5">
        <f t="shared" si="6"/>
        <v>3</v>
      </c>
      <c r="E53" s="5" t="s">
        <v>60</v>
      </c>
      <c r="F53" s="5">
        <f t="shared" si="5"/>
        <v>1.2884140014648451E-3</v>
      </c>
      <c r="G53" t="s">
        <v>48</v>
      </c>
    </row>
    <row r="54" spans="1:7" x14ac:dyDescent="0.25">
      <c r="A54">
        <v>172</v>
      </c>
      <c r="B54">
        <f t="shared" si="4"/>
        <v>0</v>
      </c>
      <c r="D54" s="5">
        <f t="shared" si="6"/>
        <v>2</v>
      </c>
      <c r="E54" s="5" t="s">
        <v>59</v>
      </c>
      <c r="F54" s="5">
        <f t="shared" si="5"/>
        <v>2.0122528076171883E-4</v>
      </c>
      <c r="G54" t="s">
        <v>48</v>
      </c>
    </row>
    <row r="55" spans="1:7" x14ac:dyDescent="0.25">
      <c r="A55">
        <v>163</v>
      </c>
      <c r="B55">
        <f t="shared" si="4"/>
        <v>0</v>
      </c>
      <c r="D55" s="5">
        <f t="shared" si="6"/>
        <v>1</v>
      </c>
      <c r="E55" s="5" t="s">
        <v>58</v>
      </c>
      <c r="F55" s="5">
        <f>_xlfn.BINOM.DIST(D55,20,0.5,0) + F56</f>
        <v>2.0027160644531284E-5</v>
      </c>
      <c r="G55" t="s">
        <v>48</v>
      </c>
    </row>
    <row r="56" spans="1:7" x14ac:dyDescent="0.25">
      <c r="A56">
        <v>187</v>
      </c>
      <c r="B56">
        <f t="shared" si="4"/>
        <v>1</v>
      </c>
      <c r="D56" s="5">
        <f>D55-1</f>
        <v>0</v>
      </c>
      <c r="E56" s="5" t="s">
        <v>57</v>
      </c>
      <c r="F56" s="5">
        <f>_xlfn.BINOM.DIST(D56,20,0.5,0)</f>
        <v>9.5367431640625E-7</v>
      </c>
      <c r="G56" t="s">
        <v>48</v>
      </c>
    </row>
    <row r="57" spans="1:7" x14ac:dyDescent="0.25">
      <c r="A57">
        <v>173</v>
      </c>
      <c r="B57">
        <f t="shared" si="4"/>
        <v>0</v>
      </c>
    </row>
    <row r="58" spans="1:7" x14ac:dyDescent="0.25">
      <c r="B58">
        <f>SUM(B38:B57)</f>
        <v>2</v>
      </c>
      <c r="D58" t="s">
        <v>62</v>
      </c>
    </row>
    <row r="59" spans="1:7" x14ac:dyDescent="0.25">
      <c r="D59" s="4" t="s">
        <v>63</v>
      </c>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9387E-4A1E-4B9C-AC67-DE507B4E93B4}">
  <sheetPr>
    <tabColor theme="5"/>
  </sheetPr>
  <dimension ref="A1:H28"/>
  <sheetViews>
    <sheetView topLeftCell="A10" zoomScaleNormal="100" workbookViewId="0">
      <selection activeCell="H23" sqref="H23"/>
    </sheetView>
  </sheetViews>
  <sheetFormatPr baseColWidth="10" defaultRowHeight="15" x14ac:dyDescent="0.25"/>
  <cols>
    <col min="5" max="5" width="13.7109375" customWidth="1"/>
    <col min="8" max="8" width="12.85546875" customWidth="1"/>
  </cols>
  <sheetData>
    <row r="1" spans="1:6" x14ac:dyDescent="0.25">
      <c r="A1" s="25" t="s">
        <v>183</v>
      </c>
      <c r="B1" s="4" t="s">
        <v>192</v>
      </c>
    </row>
    <row r="2" spans="1:6" x14ac:dyDescent="0.25">
      <c r="B2" s="4" t="s">
        <v>128</v>
      </c>
    </row>
    <row r="3" spans="1:6" x14ac:dyDescent="0.25">
      <c r="A3" s="24" t="s">
        <v>17</v>
      </c>
      <c r="B3" s="24" t="s">
        <v>18</v>
      </c>
    </row>
    <row r="4" spans="1:6" x14ac:dyDescent="0.25">
      <c r="A4" s="5">
        <v>20</v>
      </c>
      <c r="B4" s="5">
        <v>14.5</v>
      </c>
    </row>
    <row r="5" spans="1:6" x14ac:dyDescent="0.25">
      <c r="A5" s="5">
        <v>6.5</v>
      </c>
      <c r="B5" s="5">
        <v>16.5</v>
      </c>
    </row>
    <row r="6" spans="1:6" x14ac:dyDescent="0.25">
      <c r="A6" s="5">
        <v>21</v>
      </c>
      <c r="B6" s="5">
        <v>4.5</v>
      </c>
      <c r="E6" t="s">
        <v>184</v>
      </c>
    </row>
    <row r="7" spans="1:6" x14ac:dyDescent="0.25">
      <c r="A7" s="5">
        <v>16.5</v>
      </c>
      <c r="B7" s="5">
        <v>2.5</v>
      </c>
      <c r="E7" s="15" t="s">
        <v>104</v>
      </c>
    </row>
    <row r="8" spans="1:6" x14ac:dyDescent="0.25">
      <c r="A8" s="5">
        <v>12</v>
      </c>
      <c r="B8" s="5">
        <v>14.5</v>
      </c>
      <c r="E8" t="s">
        <v>185</v>
      </c>
    </row>
    <row r="9" spans="1:6" x14ac:dyDescent="0.25">
      <c r="A9" s="5">
        <v>18.5</v>
      </c>
      <c r="B9" s="5">
        <v>12</v>
      </c>
      <c r="E9" t="s">
        <v>186</v>
      </c>
    </row>
    <row r="10" spans="1:6" x14ac:dyDescent="0.25">
      <c r="A10" s="5">
        <v>9</v>
      </c>
      <c r="B10" s="5">
        <v>18.5</v>
      </c>
      <c r="E10" t="s">
        <v>123</v>
      </c>
    </row>
    <row r="11" spans="1:6" x14ac:dyDescent="0.25">
      <c r="A11" s="5">
        <v>10.5</v>
      </c>
      <c r="B11" s="5"/>
    </row>
    <row r="12" spans="1:6" x14ac:dyDescent="0.25">
      <c r="E12" s="15" t="s">
        <v>37</v>
      </c>
    </row>
    <row r="13" spans="1:6" x14ac:dyDescent="0.25">
      <c r="A13" s="24" t="s">
        <v>126</v>
      </c>
      <c r="B13" s="24" t="s">
        <v>127</v>
      </c>
      <c r="C13" s="24" t="s">
        <v>103</v>
      </c>
      <c r="E13" s="5" t="s">
        <v>172</v>
      </c>
      <c r="F13" s="5">
        <v>7</v>
      </c>
    </row>
    <row r="14" spans="1:6" x14ac:dyDescent="0.25">
      <c r="A14" s="5">
        <v>2.5</v>
      </c>
      <c r="B14" s="5" t="s">
        <v>125</v>
      </c>
      <c r="C14" s="5">
        <v>1</v>
      </c>
      <c r="E14" s="5" t="s">
        <v>173</v>
      </c>
      <c r="F14" s="5">
        <v>8</v>
      </c>
    </row>
    <row r="15" spans="1:6" x14ac:dyDescent="0.25">
      <c r="A15" s="5">
        <v>4.5</v>
      </c>
      <c r="B15" s="5" t="s">
        <v>125</v>
      </c>
      <c r="C15" s="5">
        <v>2</v>
      </c>
      <c r="E15" s="5" t="s">
        <v>117</v>
      </c>
      <c r="F15" s="5">
        <f>SUM(C14:C20)</f>
        <v>49.5</v>
      </c>
    </row>
    <row r="16" spans="1:6" x14ac:dyDescent="0.25">
      <c r="A16" s="5">
        <v>12</v>
      </c>
      <c r="B16" s="5" t="s">
        <v>125</v>
      </c>
      <c r="C16" s="5">
        <v>6.5</v>
      </c>
      <c r="E16" s="17" t="s">
        <v>118</v>
      </c>
      <c r="F16" s="17">
        <f>F13*F14+(F13*(F13+1)/2)-F15</f>
        <v>34.5</v>
      </c>
    </row>
    <row r="17" spans="1:8" x14ac:dyDescent="0.25">
      <c r="A17" s="5">
        <v>14.5</v>
      </c>
      <c r="B17" s="5" t="s">
        <v>125</v>
      </c>
      <c r="C17" s="5">
        <v>8.5</v>
      </c>
    </row>
    <row r="18" spans="1:8" x14ac:dyDescent="0.25">
      <c r="A18" s="5">
        <v>14.5</v>
      </c>
      <c r="B18" s="5" t="s">
        <v>125</v>
      </c>
      <c r="C18" s="5">
        <v>8.5</v>
      </c>
      <c r="E18" s="15" t="s">
        <v>39</v>
      </c>
      <c r="F18" s="15"/>
    </row>
    <row r="19" spans="1:8" x14ac:dyDescent="0.25">
      <c r="A19" s="5">
        <v>16.5</v>
      </c>
      <c r="B19" s="5" t="s">
        <v>125</v>
      </c>
      <c r="C19" s="5">
        <v>10.5</v>
      </c>
      <c r="E19" s="5" t="s">
        <v>122</v>
      </c>
      <c r="F19" s="5">
        <v>0.01</v>
      </c>
    </row>
    <row r="20" spans="1:8" ht="15.75" thickBot="1" x14ac:dyDescent="0.3">
      <c r="A20" s="28">
        <v>18.5</v>
      </c>
      <c r="B20" s="28" t="s">
        <v>125</v>
      </c>
      <c r="C20" s="28">
        <v>12.5</v>
      </c>
      <c r="E20" s="5" t="s">
        <v>129</v>
      </c>
      <c r="F20" s="5">
        <v>8</v>
      </c>
    </row>
    <row r="21" spans="1:8" x14ac:dyDescent="0.25">
      <c r="A21" s="27">
        <v>6.5</v>
      </c>
      <c r="B21" s="27" t="s">
        <v>124</v>
      </c>
      <c r="C21" s="27">
        <v>3</v>
      </c>
      <c r="E21" s="5" t="s">
        <v>187</v>
      </c>
      <c r="F21" s="5">
        <f>F13*F14-F20</f>
        <v>48</v>
      </c>
    </row>
    <row r="22" spans="1:8" x14ac:dyDescent="0.25">
      <c r="A22" s="5">
        <v>9</v>
      </c>
      <c r="B22" s="5" t="s">
        <v>124</v>
      </c>
      <c r="C22" s="5">
        <v>4</v>
      </c>
      <c r="E22" t="s">
        <v>188</v>
      </c>
    </row>
    <row r="23" spans="1:8" x14ac:dyDescent="0.25">
      <c r="A23" s="5">
        <v>10.5</v>
      </c>
      <c r="B23" s="5" t="s">
        <v>124</v>
      </c>
      <c r="C23" s="5">
        <v>5</v>
      </c>
      <c r="E23" s="17" t="s">
        <v>74</v>
      </c>
    </row>
    <row r="24" spans="1:8" x14ac:dyDescent="0.25">
      <c r="A24" s="5">
        <v>12</v>
      </c>
      <c r="B24" s="5" t="s">
        <v>124</v>
      </c>
      <c r="C24" s="5">
        <v>6.5</v>
      </c>
    </row>
    <row r="25" spans="1:8" x14ac:dyDescent="0.25">
      <c r="A25" s="5">
        <v>16.5</v>
      </c>
      <c r="B25" s="5" t="s">
        <v>124</v>
      </c>
      <c r="C25" s="5">
        <v>10.5</v>
      </c>
      <c r="E25" s="15" t="s">
        <v>106</v>
      </c>
    </row>
    <row r="26" spans="1:8" x14ac:dyDescent="0.25">
      <c r="A26" s="5">
        <v>18.5</v>
      </c>
      <c r="B26" s="5" t="s">
        <v>124</v>
      </c>
      <c r="C26" s="5">
        <v>12.5</v>
      </c>
      <c r="E26" s="17" t="s">
        <v>189</v>
      </c>
      <c r="F26" s="17"/>
      <c r="G26" s="17"/>
      <c r="H26" s="17"/>
    </row>
    <row r="27" spans="1:8" x14ac:dyDescent="0.25">
      <c r="A27" s="5">
        <v>20</v>
      </c>
      <c r="B27" s="5" t="s">
        <v>124</v>
      </c>
      <c r="C27" s="5">
        <v>13</v>
      </c>
      <c r="E27" s="17" t="s">
        <v>191</v>
      </c>
      <c r="F27" s="17"/>
      <c r="G27" s="17"/>
      <c r="H27" s="17"/>
    </row>
    <row r="28" spans="1:8" x14ac:dyDescent="0.25">
      <c r="A28" s="5">
        <v>21</v>
      </c>
      <c r="B28" s="5" t="s">
        <v>124</v>
      </c>
      <c r="C28" s="5">
        <v>14</v>
      </c>
      <c r="E28" s="17" t="s">
        <v>190</v>
      </c>
      <c r="F28" s="17"/>
      <c r="G28" s="17"/>
      <c r="H28" s="17"/>
    </row>
  </sheetData>
  <sortState xmlns:xlrd2="http://schemas.microsoft.com/office/spreadsheetml/2017/richdata2" ref="A14:C28">
    <sortCondition ref="B14:B28"/>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865D-2798-452E-A35A-B67BD81259BB}">
  <sheetPr>
    <tabColor theme="5"/>
  </sheetPr>
  <dimension ref="A2:H34"/>
  <sheetViews>
    <sheetView topLeftCell="A6" workbookViewId="0">
      <selection activeCell="I24" sqref="I24"/>
    </sheetView>
  </sheetViews>
  <sheetFormatPr baseColWidth="10" defaultRowHeight="15" x14ac:dyDescent="0.25"/>
  <sheetData>
    <row r="2" spans="1:7" x14ac:dyDescent="0.25">
      <c r="A2" s="6" t="s">
        <v>17</v>
      </c>
      <c r="B2" s="6" t="s">
        <v>18</v>
      </c>
      <c r="C2" s="6" t="s">
        <v>19</v>
      </c>
    </row>
    <row r="3" spans="1:7" x14ac:dyDescent="0.25">
      <c r="A3" s="5">
        <v>20</v>
      </c>
      <c r="B3" s="5">
        <v>14.5</v>
      </c>
      <c r="C3" s="5">
        <v>9</v>
      </c>
    </row>
    <row r="4" spans="1:7" x14ac:dyDescent="0.25">
      <c r="A4" s="5">
        <v>6.5</v>
      </c>
      <c r="B4" s="5">
        <v>16.5</v>
      </c>
      <c r="C4" s="5">
        <v>1</v>
      </c>
    </row>
    <row r="5" spans="1:7" x14ac:dyDescent="0.25">
      <c r="A5" s="5">
        <v>21</v>
      </c>
      <c r="B5" s="5">
        <v>4.5</v>
      </c>
      <c r="C5" s="5">
        <v>9</v>
      </c>
    </row>
    <row r="6" spans="1:7" x14ac:dyDescent="0.25">
      <c r="A6" s="5">
        <v>16.5</v>
      </c>
      <c r="B6" s="5">
        <v>2.5</v>
      </c>
      <c r="C6" s="5">
        <v>4.5</v>
      </c>
    </row>
    <row r="7" spans="1:7" x14ac:dyDescent="0.25">
      <c r="A7" s="5">
        <v>12</v>
      </c>
      <c r="B7" s="5">
        <v>14.5</v>
      </c>
      <c r="C7" s="5">
        <v>6.5</v>
      </c>
    </row>
    <row r="8" spans="1:7" x14ac:dyDescent="0.25">
      <c r="A8" s="5">
        <v>18.5</v>
      </c>
      <c r="B8" s="5">
        <v>12</v>
      </c>
      <c r="C8" s="5">
        <v>2.5</v>
      </c>
    </row>
    <row r="9" spans="1:7" x14ac:dyDescent="0.25">
      <c r="A9" s="5">
        <v>9</v>
      </c>
      <c r="B9" s="5">
        <v>18.5</v>
      </c>
      <c r="C9" s="5">
        <v>12</v>
      </c>
      <c r="F9" s="15" t="s">
        <v>104</v>
      </c>
    </row>
    <row r="10" spans="1:7" x14ac:dyDescent="0.25">
      <c r="A10" s="5">
        <v>10.5</v>
      </c>
      <c r="B10" s="5"/>
      <c r="C10" s="5"/>
      <c r="F10" t="s">
        <v>196</v>
      </c>
    </row>
    <row r="11" spans="1:7" x14ac:dyDescent="0.25">
      <c r="F11" t="s">
        <v>197</v>
      </c>
    </row>
    <row r="12" spans="1:7" x14ac:dyDescent="0.25">
      <c r="A12" s="6" t="s">
        <v>126</v>
      </c>
      <c r="B12" s="6" t="s">
        <v>130</v>
      </c>
      <c r="C12" s="6" t="s">
        <v>103</v>
      </c>
    </row>
    <row r="13" spans="1:7" x14ac:dyDescent="0.25">
      <c r="A13" s="5">
        <v>1</v>
      </c>
      <c r="B13" s="5" t="s">
        <v>131</v>
      </c>
      <c r="C13" s="5">
        <v>1</v>
      </c>
      <c r="F13" s="15" t="s">
        <v>37</v>
      </c>
    </row>
    <row r="14" spans="1:7" x14ac:dyDescent="0.25">
      <c r="A14" s="5">
        <v>2.5</v>
      </c>
      <c r="B14" s="5" t="s">
        <v>131</v>
      </c>
      <c r="C14" s="5">
        <v>2.5</v>
      </c>
      <c r="F14" t="s">
        <v>172</v>
      </c>
      <c r="G14">
        <v>7</v>
      </c>
    </row>
    <row r="15" spans="1:7" x14ac:dyDescent="0.25">
      <c r="A15" s="5">
        <v>4.5</v>
      </c>
      <c r="B15" s="5" t="s">
        <v>131</v>
      </c>
      <c r="C15" s="5">
        <v>4.5</v>
      </c>
      <c r="F15" t="s">
        <v>173</v>
      </c>
      <c r="G15">
        <v>7</v>
      </c>
    </row>
    <row r="16" spans="1:7" x14ac:dyDescent="0.25">
      <c r="A16" s="5">
        <v>6.5</v>
      </c>
      <c r="B16" s="5" t="s">
        <v>131</v>
      </c>
      <c r="C16" s="5">
        <v>6.5</v>
      </c>
      <c r="F16" t="s">
        <v>201</v>
      </c>
      <c r="G16">
        <v>8</v>
      </c>
    </row>
    <row r="17" spans="1:8" x14ac:dyDescent="0.25">
      <c r="A17" s="5">
        <v>9</v>
      </c>
      <c r="B17" s="5" t="s">
        <v>131</v>
      </c>
      <c r="C17" s="5">
        <v>9</v>
      </c>
      <c r="F17" t="s">
        <v>198</v>
      </c>
      <c r="G17">
        <f>SUM(C13:C19)</f>
        <v>45.5</v>
      </c>
      <c r="H17">
        <f>G17*G17/G14</f>
        <v>295.75</v>
      </c>
    </row>
    <row r="18" spans="1:8" x14ac:dyDescent="0.25">
      <c r="A18" s="5">
        <v>9</v>
      </c>
      <c r="B18" s="5" t="s">
        <v>131</v>
      </c>
      <c r="C18" s="5">
        <v>9</v>
      </c>
      <c r="F18" t="s">
        <v>199</v>
      </c>
      <c r="G18">
        <f>SUM(C20:C26)</f>
        <v>88</v>
      </c>
      <c r="H18">
        <f>G18*G18/G15</f>
        <v>1106.2857142857142</v>
      </c>
    </row>
    <row r="19" spans="1:8" ht="15.75" thickBot="1" x14ac:dyDescent="0.3">
      <c r="A19" s="28">
        <v>12</v>
      </c>
      <c r="B19" s="28" t="s">
        <v>131</v>
      </c>
      <c r="C19" s="28">
        <v>13</v>
      </c>
      <c r="F19" t="s">
        <v>200</v>
      </c>
      <c r="G19">
        <f>SUM(C27:C34)</f>
        <v>119.5</v>
      </c>
      <c r="H19">
        <f t="shared" ref="H19" si="0">G19*G19/G16</f>
        <v>1785.03125</v>
      </c>
    </row>
    <row r="20" spans="1:8" x14ac:dyDescent="0.25">
      <c r="A20" s="27">
        <v>2.5</v>
      </c>
      <c r="B20" s="27" t="s">
        <v>125</v>
      </c>
      <c r="C20" s="27">
        <v>2.5</v>
      </c>
      <c r="F20" t="s">
        <v>82</v>
      </c>
      <c r="G20">
        <v>22</v>
      </c>
    </row>
    <row r="21" spans="1:8" x14ac:dyDescent="0.25">
      <c r="A21" s="5">
        <v>4.5</v>
      </c>
      <c r="B21" s="5" t="s">
        <v>125</v>
      </c>
      <c r="C21" s="5">
        <v>4.5</v>
      </c>
      <c r="F21" s="17" t="s">
        <v>235</v>
      </c>
      <c r="G21" s="17">
        <f>((12/(G20*23))*SUM(H17:H19))-3*23</f>
        <v>6.5826157538113961</v>
      </c>
    </row>
    <row r="22" spans="1:8" x14ac:dyDescent="0.25">
      <c r="A22" s="5">
        <v>12</v>
      </c>
      <c r="B22" s="5" t="s">
        <v>125</v>
      </c>
      <c r="C22" s="5">
        <v>13</v>
      </c>
    </row>
    <row r="23" spans="1:8" x14ac:dyDescent="0.25">
      <c r="A23" s="5">
        <v>14.5</v>
      </c>
      <c r="B23" s="5" t="s">
        <v>125</v>
      </c>
      <c r="C23" s="5">
        <v>15.5</v>
      </c>
      <c r="F23" s="15" t="s">
        <v>68</v>
      </c>
      <c r="G23" s="15"/>
    </row>
    <row r="24" spans="1:8" x14ac:dyDescent="0.25">
      <c r="A24" s="5">
        <v>14.5</v>
      </c>
      <c r="B24" s="5" t="s">
        <v>125</v>
      </c>
      <c r="C24" s="5">
        <v>15.5</v>
      </c>
      <c r="F24" s="5" t="s">
        <v>140</v>
      </c>
      <c r="G24" s="5">
        <v>0.05</v>
      </c>
    </row>
    <row r="25" spans="1:8" x14ac:dyDescent="0.25">
      <c r="A25" s="5">
        <v>16.5</v>
      </c>
      <c r="B25" s="5" t="s">
        <v>125</v>
      </c>
      <c r="C25" s="5">
        <v>17.5</v>
      </c>
      <c r="F25" s="22" t="s">
        <v>40</v>
      </c>
      <c r="G25" s="5">
        <v>3</v>
      </c>
    </row>
    <row r="26" spans="1:8" ht="15.75" thickBot="1" x14ac:dyDescent="0.3">
      <c r="A26" s="28">
        <v>18.5</v>
      </c>
      <c r="B26" s="28" t="s">
        <v>125</v>
      </c>
      <c r="C26" s="28">
        <v>19.5</v>
      </c>
      <c r="F26" s="17" t="s">
        <v>236</v>
      </c>
      <c r="G26" s="17">
        <f>_xlfn.CHISQ.INV.RT(G24,G25-1)</f>
        <v>5.9914645471079817</v>
      </c>
    </row>
    <row r="27" spans="1:8" x14ac:dyDescent="0.25">
      <c r="A27" s="27">
        <v>6.5</v>
      </c>
      <c r="B27" s="27" t="s">
        <v>124</v>
      </c>
      <c r="C27" s="27">
        <v>6.5</v>
      </c>
      <c r="F27" s="21" t="s">
        <v>237</v>
      </c>
    </row>
    <row r="28" spans="1:8" x14ac:dyDescent="0.25">
      <c r="A28" s="5">
        <v>9</v>
      </c>
      <c r="B28" s="5" t="s">
        <v>124</v>
      </c>
      <c r="C28" s="5">
        <v>9</v>
      </c>
      <c r="F28" s="31" t="s">
        <v>50</v>
      </c>
    </row>
    <row r="29" spans="1:8" x14ac:dyDescent="0.25">
      <c r="A29" s="5">
        <v>10.5</v>
      </c>
      <c r="B29" s="5" t="s">
        <v>124</v>
      </c>
      <c r="C29" s="5">
        <v>11</v>
      </c>
    </row>
    <row r="30" spans="1:8" x14ac:dyDescent="0.25">
      <c r="A30" s="5">
        <v>12</v>
      </c>
      <c r="B30" s="5" t="s">
        <v>124</v>
      </c>
      <c r="C30" s="5">
        <v>13</v>
      </c>
      <c r="F30" s="32" t="s">
        <v>106</v>
      </c>
    </row>
    <row r="31" spans="1:8" x14ac:dyDescent="0.25">
      <c r="A31" s="5">
        <v>16.5</v>
      </c>
      <c r="B31" s="5" t="s">
        <v>124</v>
      </c>
      <c r="C31" s="5">
        <v>17.5</v>
      </c>
      <c r="F31" s="17" t="s">
        <v>238</v>
      </c>
      <c r="G31" s="17"/>
      <c r="H31" s="17"/>
    </row>
    <row r="32" spans="1:8" x14ac:dyDescent="0.25">
      <c r="A32" s="5">
        <v>18.5</v>
      </c>
      <c r="B32" s="5" t="s">
        <v>124</v>
      </c>
      <c r="C32" s="5">
        <v>19.5</v>
      </c>
      <c r="F32" s="17" t="s">
        <v>239</v>
      </c>
      <c r="G32" s="17"/>
      <c r="H32" s="17"/>
    </row>
    <row r="33" spans="1:3" x14ac:dyDescent="0.25">
      <c r="A33" s="5">
        <v>20</v>
      </c>
      <c r="B33" s="5" t="s">
        <v>124</v>
      </c>
      <c r="C33" s="5">
        <v>21</v>
      </c>
    </row>
    <row r="34" spans="1:3" x14ac:dyDescent="0.25">
      <c r="A34" s="5">
        <v>21</v>
      </c>
      <c r="B34" s="5" t="s">
        <v>124</v>
      </c>
      <c r="C34" s="5">
        <v>22</v>
      </c>
    </row>
  </sheetData>
  <sortState xmlns:xlrd2="http://schemas.microsoft.com/office/spreadsheetml/2017/richdata2" ref="A13:C34">
    <sortCondition ref="B13:B34"/>
  </sortState>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6F78A-4DA0-46D4-95C4-367993FA1E4C}">
  <dimension ref="A1:D8"/>
  <sheetViews>
    <sheetView workbookViewId="0">
      <selection activeCell="A2" sqref="A2:B15"/>
    </sheetView>
  </sheetViews>
  <sheetFormatPr baseColWidth="10" defaultRowHeight="15" x14ac:dyDescent="0.25"/>
  <sheetData>
    <row r="1" spans="1:4" x14ac:dyDescent="0.25">
      <c r="A1" s="33" t="s">
        <v>20</v>
      </c>
      <c r="B1" s="33"/>
      <c r="C1" s="33"/>
      <c r="D1" s="33"/>
    </row>
    <row r="2" spans="1:4" x14ac:dyDescent="0.25">
      <c r="A2" t="s">
        <v>21</v>
      </c>
      <c r="B2" t="s">
        <v>22</v>
      </c>
      <c r="C2" t="s">
        <v>23</v>
      </c>
      <c r="D2" t="s">
        <v>24</v>
      </c>
    </row>
    <row r="3" spans="1:4" x14ac:dyDescent="0.25">
      <c r="A3">
        <v>22</v>
      </c>
      <c r="B3">
        <v>15</v>
      </c>
      <c r="C3">
        <v>14</v>
      </c>
      <c r="D3">
        <v>17</v>
      </c>
    </row>
    <row r="4" spans="1:4" x14ac:dyDescent="0.25">
      <c r="A4">
        <v>24</v>
      </c>
      <c r="B4">
        <v>21</v>
      </c>
      <c r="C4">
        <v>28</v>
      </c>
      <c r="D4">
        <v>18</v>
      </c>
    </row>
    <row r="5" spans="1:4" x14ac:dyDescent="0.25">
      <c r="A5">
        <v>16</v>
      </c>
      <c r="B5">
        <v>26</v>
      </c>
      <c r="C5">
        <v>21</v>
      </c>
      <c r="D5">
        <v>13</v>
      </c>
    </row>
    <row r="6" spans="1:4" x14ac:dyDescent="0.25">
      <c r="A6">
        <v>18</v>
      </c>
      <c r="B6">
        <v>16</v>
      </c>
      <c r="C6">
        <v>19</v>
      </c>
      <c r="D6">
        <v>20</v>
      </c>
    </row>
    <row r="7" spans="1:4" x14ac:dyDescent="0.25">
      <c r="A7">
        <v>19</v>
      </c>
      <c r="B7">
        <v>25</v>
      </c>
      <c r="C7">
        <v>24</v>
      </c>
      <c r="D7">
        <v>21</v>
      </c>
    </row>
    <row r="8" spans="1:4" x14ac:dyDescent="0.25">
      <c r="B8">
        <v>17</v>
      </c>
      <c r="C8">
        <v>23</v>
      </c>
    </row>
  </sheetData>
  <mergeCells count="1">
    <mergeCell ref="A1:D1"/>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3"/>
  <sheetViews>
    <sheetView workbookViewId="0">
      <selection activeCell="F16" sqref="F16"/>
    </sheetView>
  </sheetViews>
  <sheetFormatPr baseColWidth="10" defaultRowHeight="15" x14ac:dyDescent="0.25"/>
  <sheetData>
    <row r="1" spans="1:1" x14ac:dyDescent="0.25">
      <c r="A1" t="s">
        <v>2</v>
      </c>
    </row>
    <row r="2" spans="1:1" x14ac:dyDescent="0.25">
      <c r="A2">
        <v>5</v>
      </c>
    </row>
    <row r="3" spans="1:1" x14ac:dyDescent="0.25">
      <c r="A3">
        <v>8</v>
      </c>
    </row>
    <row r="4" spans="1:1" x14ac:dyDescent="0.25">
      <c r="A4">
        <v>16</v>
      </c>
    </row>
    <row r="5" spans="1:1" x14ac:dyDescent="0.25">
      <c r="A5">
        <v>21</v>
      </c>
    </row>
    <row r="6" spans="1:1" x14ac:dyDescent="0.25">
      <c r="A6">
        <v>183</v>
      </c>
    </row>
    <row r="7" spans="1:1" x14ac:dyDescent="0.25">
      <c r="A7">
        <v>646</v>
      </c>
    </row>
    <row r="8" spans="1:1" x14ac:dyDescent="0.25">
      <c r="A8">
        <v>1018</v>
      </c>
    </row>
    <row r="9" spans="1:1" x14ac:dyDescent="0.25">
      <c r="A9">
        <v>1044</v>
      </c>
    </row>
    <row r="10" spans="1:1" x14ac:dyDescent="0.25">
      <c r="A10">
        <v>1045</v>
      </c>
    </row>
    <row r="11" spans="1:1" x14ac:dyDescent="0.25">
      <c r="A11">
        <v>1233</v>
      </c>
    </row>
    <row r="12" spans="1:1" x14ac:dyDescent="0.25">
      <c r="A12">
        <v>1616</v>
      </c>
    </row>
    <row r="13" spans="1:1" x14ac:dyDescent="0.25">
      <c r="A13">
        <v>1794</v>
      </c>
    </row>
    <row r="14" spans="1:1" x14ac:dyDescent="0.25">
      <c r="A14">
        <v>1908</v>
      </c>
    </row>
    <row r="15" spans="1:1" x14ac:dyDescent="0.25">
      <c r="A15">
        <v>2069</v>
      </c>
    </row>
    <row r="16" spans="1:1" x14ac:dyDescent="0.25">
      <c r="A16">
        <v>2072</v>
      </c>
    </row>
    <row r="17" spans="1:1" x14ac:dyDescent="0.25">
      <c r="A17">
        <v>2172</v>
      </c>
    </row>
    <row r="18" spans="1:1" x14ac:dyDescent="0.25">
      <c r="A18">
        <v>2922</v>
      </c>
    </row>
    <row r="19" spans="1:1" x14ac:dyDescent="0.25">
      <c r="A19">
        <v>2927</v>
      </c>
    </row>
    <row r="20" spans="1:1" x14ac:dyDescent="0.25">
      <c r="A20">
        <v>2930</v>
      </c>
    </row>
    <row r="21" spans="1:1" x14ac:dyDescent="0.25">
      <c r="A21">
        <v>3044</v>
      </c>
    </row>
    <row r="22" spans="1:1" x14ac:dyDescent="0.25">
      <c r="A22">
        <v>3925</v>
      </c>
    </row>
    <row r="23" spans="1:1" x14ac:dyDescent="0.25">
      <c r="A23">
        <v>4225</v>
      </c>
    </row>
    <row r="24" spans="1:1" x14ac:dyDescent="0.25">
      <c r="A24">
        <v>4283</v>
      </c>
    </row>
    <row r="25" spans="1:1" x14ac:dyDescent="0.25">
      <c r="A25">
        <v>4303</v>
      </c>
    </row>
    <row r="26" spans="1:1" x14ac:dyDescent="0.25">
      <c r="A26">
        <v>4312</v>
      </c>
    </row>
    <row r="27" spans="1:1" x14ac:dyDescent="0.25">
      <c r="A27">
        <v>4316</v>
      </c>
    </row>
    <row r="28" spans="1:1" x14ac:dyDescent="0.25">
      <c r="A28">
        <v>4347</v>
      </c>
    </row>
    <row r="29" spans="1:1" x14ac:dyDescent="0.25">
      <c r="A29">
        <v>4380</v>
      </c>
    </row>
    <row r="30" spans="1:1" x14ac:dyDescent="0.25">
      <c r="A30">
        <v>5189</v>
      </c>
    </row>
    <row r="31" spans="1:1" x14ac:dyDescent="0.25">
      <c r="A31">
        <v>6266</v>
      </c>
    </row>
    <row r="32" spans="1:1" x14ac:dyDescent="0.25">
      <c r="A32">
        <v>6281</v>
      </c>
    </row>
    <row r="33" spans="1:1" x14ac:dyDescent="0.25">
      <c r="A33">
        <v>6291</v>
      </c>
    </row>
    <row r="34" spans="1:1" x14ac:dyDescent="0.25">
      <c r="A34">
        <v>7107</v>
      </c>
    </row>
    <row r="35" spans="1:1" x14ac:dyDescent="0.25">
      <c r="A35">
        <v>7114</v>
      </c>
    </row>
    <row r="36" spans="1:1" x14ac:dyDescent="0.25">
      <c r="A36">
        <v>7128</v>
      </c>
    </row>
    <row r="37" spans="1:1" x14ac:dyDescent="0.25">
      <c r="A37">
        <v>7145</v>
      </c>
    </row>
    <row r="38" spans="1:1" x14ac:dyDescent="0.25">
      <c r="A38">
        <v>7230</v>
      </c>
    </row>
    <row r="39" spans="1:1" x14ac:dyDescent="0.25">
      <c r="A39">
        <v>7394</v>
      </c>
    </row>
    <row r="40" spans="1:1" x14ac:dyDescent="0.25">
      <c r="A40">
        <v>8162</v>
      </c>
    </row>
    <row r="41" spans="1:1" x14ac:dyDescent="0.25">
      <c r="A41">
        <v>8172</v>
      </c>
    </row>
    <row r="42" spans="1:1" x14ac:dyDescent="0.25">
      <c r="A42">
        <v>8179</v>
      </c>
    </row>
    <row r="43" spans="1:1" x14ac:dyDescent="0.25">
      <c r="A43">
        <v>8180</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1197B-8F95-43D6-9A87-5E87319BCD61}">
  <dimension ref="A1:E43"/>
  <sheetViews>
    <sheetView workbookViewId="0">
      <selection activeCell="E4" sqref="E4"/>
    </sheetView>
  </sheetViews>
  <sheetFormatPr baseColWidth="10" defaultRowHeight="15" x14ac:dyDescent="0.25"/>
  <cols>
    <col min="1" max="1" width="19.42578125" bestFit="1" customWidth="1"/>
  </cols>
  <sheetData>
    <row r="1" spans="1:5" x14ac:dyDescent="0.25">
      <c r="A1" t="s">
        <v>2</v>
      </c>
    </row>
    <row r="2" spans="1:5" x14ac:dyDescent="0.25">
      <c r="A2">
        <v>5</v>
      </c>
      <c r="E2" t="s">
        <v>104</v>
      </c>
    </row>
    <row r="3" spans="1:5" x14ac:dyDescent="0.25">
      <c r="A3">
        <v>8</v>
      </c>
      <c r="E3" t="s">
        <v>223</v>
      </c>
    </row>
    <row r="4" spans="1:5" x14ac:dyDescent="0.25">
      <c r="A4">
        <v>16</v>
      </c>
    </row>
    <row r="5" spans="1:5" x14ac:dyDescent="0.25">
      <c r="A5">
        <v>21</v>
      </c>
    </row>
    <row r="6" spans="1:5" x14ac:dyDescent="0.25">
      <c r="A6">
        <v>183</v>
      </c>
    </row>
    <row r="7" spans="1:5" x14ac:dyDescent="0.25">
      <c r="A7">
        <v>646</v>
      </c>
    </row>
    <row r="8" spans="1:5" x14ac:dyDescent="0.25">
      <c r="A8">
        <v>1018</v>
      </c>
    </row>
    <row r="9" spans="1:5" x14ac:dyDescent="0.25">
      <c r="A9">
        <v>1044</v>
      </c>
    </row>
    <row r="10" spans="1:5" x14ac:dyDescent="0.25">
      <c r="A10">
        <v>1045</v>
      </c>
    </row>
    <row r="11" spans="1:5" x14ac:dyDescent="0.25">
      <c r="A11">
        <v>1233</v>
      </c>
    </row>
    <row r="12" spans="1:5" x14ac:dyDescent="0.25">
      <c r="A12">
        <v>1616</v>
      </c>
    </row>
    <row r="13" spans="1:5" x14ac:dyDescent="0.25">
      <c r="A13">
        <v>1794</v>
      </c>
    </row>
    <row r="14" spans="1:5" x14ac:dyDescent="0.25">
      <c r="A14">
        <v>1908</v>
      </c>
    </row>
    <row r="15" spans="1:5" x14ac:dyDescent="0.25">
      <c r="A15">
        <v>2069</v>
      </c>
    </row>
    <row r="16" spans="1:5" x14ac:dyDescent="0.25">
      <c r="A16">
        <v>2072</v>
      </c>
    </row>
    <row r="17" spans="1:1" x14ac:dyDescent="0.25">
      <c r="A17">
        <v>2172</v>
      </c>
    </row>
    <row r="18" spans="1:1" x14ac:dyDescent="0.25">
      <c r="A18">
        <v>2922</v>
      </c>
    </row>
    <row r="19" spans="1:1" x14ac:dyDescent="0.25">
      <c r="A19">
        <v>2927</v>
      </c>
    </row>
    <row r="20" spans="1:1" x14ac:dyDescent="0.25">
      <c r="A20">
        <v>2930</v>
      </c>
    </row>
    <row r="21" spans="1:1" x14ac:dyDescent="0.25">
      <c r="A21">
        <v>3044</v>
      </c>
    </row>
    <row r="22" spans="1:1" x14ac:dyDescent="0.25">
      <c r="A22">
        <v>3925</v>
      </c>
    </row>
    <row r="23" spans="1:1" x14ac:dyDescent="0.25">
      <c r="A23">
        <v>4225</v>
      </c>
    </row>
    <row r="24" spans="1:1" x14ac:dyDescent="0.25">
      <c r="A24">
        <v>4283</v>
      </c>
    </row>
    <row r="25" spans="1:1" x14ac:dyDescent="0.25">
      <c r="A25">
        <v>4303</v>
      </c>
    </row>
    <row r="26" spans="1:1" x14ac:dyDescent="0.25">
      <c r="A26">
        <v>4312</v>
      </c>
    </row>
    <row r="27" spans="1:1" x14ac:dyDescent="0.25">
      <c r="A27">
        <v>4316</v>
      </c>
    </row>
    <row r="28" spans="1:1" x14ac:dyDescent="0.25">
      <c r="A28">
        <v>4347</v>
      </c>
    </row>
    <row r="29" spans="1:1" x14ac:dyDescent="0.25">
      <c r="A29">
        <v>4380</v>
      </c>
    </row>
    <row r="30" spans="1:1" x14ac:dyDescent="0.25">
      <c r="A30">
        <v>5189</v>
      </c>
    </row>
    <row r="31" spans="1:1" x14ac:dyDescent="0.25">
      <c r="A31">
        <v>6266</v>
      </c>
    </row>
    <row r="32" spans="1:1" x14ac:dyDescent="0.25">
      <c r="A32">
        <v>6281</v>
      </c>
    </row>
    <row r="33" spans="1:1" x14ac:dyDescent="0.25">
      <c r="A33">
        <v>6291</v>
      </c>
    </row>
    <row r="34" spans="1:1" x14ac:dyDescent="0.25">
      <c r="A34">
        <v>7107</v>
      </c>
    </row>
    <row r="35" spans="1:1" x14ac:dyDescent="0.25">
      <c r="A35">
        <v>7114</v>
      </c>
    </row>
    <row r="36" spans="1:1" x14ac:dyDescent="0.25">
      <c r="A36">
        <v>7128</v>
      </c>
    </row>
    <row r="37" spans="1:1" x14ac:dyDescent="0.25">
      <c r="A37">
        <v>7145</v>
      </c>
    </row>
    <row r="38" spans="1:1" x14ac:dyDescent="0.25">
      <c r="A38">
        <v>7230</v>
      </c>
    </row>
    <row r="39" spans="1:1" x14ac:dyDescent="0.25">
      <c r="A39">
        <v>7394</v>
      </c>
    </row>
    <row r="40" spans="1:1" x14ac:dyDescent="0.25">
      <c r="A40">
        <v>8162</v>
      </c>
    </row>
    <row r="41" spans="1:1" x14ac:dyDescent="0.25">
      <c r="A41">
        <v>8172</v>
      </c>
    </row>
    <row r="42" spans="1:1" x14ac:dyDescent="0.25">
      <c r="A42">
        <v>8179</v>
      </c>
    </row>
    <row r="43" spans="1:1" x14ac:dyDescent="0.25">
      <c r="A43">
        <v>8180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24"/>
  <sheetViews>
    <sheetView zoomScaleNormal="100" workbookViewId="0">
      <selection sqref="A1:B24"/>
    </sheetView>
  </sheetViews>
  <sheetFormatPr baseColWidth="10" defaultRowHeight="15" x14ac:dyDescent="0.25"/>
  <cols>
    <col min="1" max="1" width="16.28515625" customWidth="1"/>
    <col min="2" max="2" width="19.5703125" customWidth="1"/>
  </cols>
  <sheetData>
    <row r="1" spans="1:2" x14ac:dyDescent="0.25">
      <c r="A1" t="s">
        <v>0</v>
      </c>
      <c r="B1" t="s">
        <v>1</v>
      </c>
    </row>
    <row r="2" spans="1:2" x14ac:dyDescent="0.25">
      <c r="A2">
        <v>0</v>
      </c>
      <c r="B2">
        <v>0</v>
      </c>
    </row>
    <row r="3" spans="1:2" x14ac:dyDescent="0.25">
      <c r="A3">
        <v>1</v>
      </c>
      <c r="B3">
        <v>5</v>
      </c>
    </row>
    <row r="4" spans="1:2" x14ac:dyDescent="0.25">
      <c r="A4">
        <v>2</v>
      </c>
      <c r="B4">
        <v>14</v>
      </c>
    </row>
    <row r="5" spans="1:2" x14ac:dyDescent="0.25">
      <c r="A5">
        <v>3</v>
      </c>
      <c r="B5">
        <v>24</v>
      </c>
    </row>
    <row r="6" spans="1:2" x14ac:dyDescent="0.25">
      <c r="A6">
        <v>4</v>
      </c>
      <c r="B6">
        <v>57</v>
      </c>
    </row>
    <row r="7" spans="1:2" x14ac:dyDescent="0.25">
      <c r="A7">
        <v>5</v>
      </c>
      <c r="B7">
        <v>111</v>
      </c>
    </row>
    <row r="8" spans="1:2" x14ac:dyDescent="0.25">
      <c r="A8">
        <v>6</v>
      </c>
      <c r="B8">
        <v>197</v>
      </c>
    </row>
    <row r="9" spans="1:2" x14ac:dyDescent="0.25">
      <c r="A9">
        <v>7</v>
      </c>
      <c r="B9">
        <v>278</v>
      </c>
    </row>
    <row r="10" spans="1:2" x14ac:dyDescent="0.25">
      <c r="A10">
        <v>8</v>
      </c>
      <c r="B10">
        <v>378</v>
      </c>
    </row>
    <row r="11" spans="1:2" x14ac:dyDescent="0.25">
      <c r="A11">
        <v>9</v>
      </c>
      <c r="B11">
        <v>418</v>
      </c>
    </row>
    <row r="12" spans="1:2" x14ac:dyDescent="0.25">
      <c r="A12">
        <v>10</v>
      </c>
      <c r="B12">
        <v>461</v>
      </c>
    </row>
    <row r="13" spans="1:2" x14ac:dyDescent="0.25">
      <c r="A13">
        <v>11</v>
      </c>
      <c r="B13">
        <v>433</v>
      </c>
    </row>
    <row r="14" spans="1:2" x14ac:dyDescent="0.25">
      <c r="A14">
        <v>12</v>
      </c>
      <c r="B14">
        <v>413</v>
      </c>
    </row>
    <row r="15" spans="1:2" x14ac:dyDescent="0.25">
      <c r="A15">
        <v>13</v>
      </c>
      <c r="B15">
        <v>358</v>
      </c>
    </row>
    <row r="16" spans="1:2" x14ac:dyDescent="0.25">
      <c r="A16">
        <v>14</v>
      </c>
      <c r="B16">
        <v>219</v>
      </c>
    </row>
    <row r="17" spans="1:2" x14ac:dyDescent="0.25">
      <c r="A17">
        <v>15</v>
      </c>
      <c r="B17">
        <v>145</v>
      </c>
    </row>
    <row r="18" spans="1:2" x14ac:dyDescent="0.25">
      <c r="A18">
        <v>16</v>
      </c>
      <c r="B18">
        <v>109</v>
      </c>
    </row>
    <row r="19" spans="1:2" x14ac:dyDescent="0.25">
      <c r="A19">
        <v>17</v>
      </c>
      <c r="B19">
        <v>57</v>
      </c>
    </row>
    <row r="20" spans="1:2" x14ac:dyDescent="0.25">
      <c r="A20">
        <v>18</v>
      </c>
      <c r="B20">
        <v>43</v>
      </c>
    </row>
    <row r="21" spans="1:2" x14ac:dyDescent="0.25">
      <c r="A21">
        <v>19</v>
      </c>
      <c r="B21">
        <v>16</v>
      </c>
    </row>
    <row r="22" spans="1:2" x14ac:dyDescent="0.25">
      <c r="A22">
        <v>20</v>
      </c>
      <c r="B22">
        <v>7</v>
      </c>
    </row>
    <row r="23" spans="1:2" x14ac:dyDescent="0.25">
      <c r="A23">
        <v>21</v>
      </c>
      <c r="B23">
        <v>8</v>
      </c>
    </row>
    <row r="24" spans="1:2" x14ac:dyDescent="0.25">
      <c r="A24">
        <v>22</v>
      </c>
      <c r="B24">
        <v>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CA8F-2C51-4204-A991-5E9075D3C707}">
  <sheetPr>
    <tabColor rgb="FFFF0000"/>
  </sheetPr>
  <dimension ref="A1:R49"/>
  <sheetViews>
    <sheetView tabSelected="1" zoomScaleNormal="100" workbookViewId="0">
      <selection activeCell="N37" sqref="N37"/>
    </sheetView>
  </sheetViews>
  <sheetFormatPr baseColWidth="10" defaultRowHeight="15" x14ac:dyDescent="0.25"/>
  <cols>
    <col min="1" max="1" width="15.85546875" customWidth="1"/>
    <col min="2" max="2" width="20.7109375" customWidth="1"/>
    <col min="3" max="3" width="12.42578125" customWidth="1"/>
    <col min="4" max="4" width="18.7109375" customWidth="1"/>
    <col min="7" max="7" width="16.28515625" customWidth="1"/>
    <col min="8" max="8" width="20.85546875" customWidth="1"/>
    <col min="9" max="9" width="12" bestFit="1" customWidth="1"/>
    <col min="10" max="10" width="18.5703125" customWidth="1"/>
  </cols>
  <sheetData>
    <row r="1" spans="1:8" x14ac:dyDescent="0.25">
      <c r="A1" s="30" t="s">
        <v>222</v>
      </c>
    </row>
    <row r="2" spans="1:8" x14ac:dyDescent="0.25">
      <c r="A2" s="24" t="s">
        <v>0</v>
      </c>
      <c r="B2" s="24" t="s">
        <v>1</v>
      </c>
      <c r="C2" s="24" t="s">
        <v>202</v>
      </c>
      <c r="D2" s="24" t="s">
        <v>203</v>
      </c>
      <c r="E2" s="24" t="s">
        <v>206</v>
      </c>
    </row>
    <row r="3" spans="1:8" x14ac:dyDescent="0.25">
      <c r="A3" s="5">
        <v>0</v>
      </c>
      <c r="B3" s="5">
        <v>0</v>
      </c>
      <c r="C3" s="5">
        <f>_xlfn.POISSON.DIST(A3,8.5,0)</f>
        <v>2.0346836901064417E-4</v>
      </c>
      <c r="D3" s="5">
        <f>C3*$B$26</f>
        <v>0.76382025726595826</v>
      </c>
      <c r="E3" s="5">
        <f>POWER(B3-D3,2)/D3</f>
        <v>0.76382025726595826</v>
      </c>
      <c r="G3" s="15" t="s">
        <v>104</v>
      </c>
    </row>
    <row r="4" spans="1:8" x14ac:dyDescent="0.25">
      <c r="A4" s="5">
        <v>1</v>
      </c>
      <c r="B4" s="5">
        <v>5</v>
      </c>
      <c r="C4" s="5">
        <f t="shared" ref="C4:C23" si="0">_xlfn.POISSON.DIST(A4,8.5,0)</f>
        <v>1.7294811365904754E-3</v>
      </c>
      <c r="D4" s="5">
        <f t="shared" ref="D4:D25" si="1">C4*$B$26</f>
        <v>6.4924721867606445</v>
      </c>
      <c r="E4" s="5">
        <f t="shared" ref="E4:E25" si="2">POWER(B4-D4,2)/D4</f>
        <v>0.3430855249247477</v>
      </c>
      <c r="G4" t="s">
        <v>204</v>
      </c>
    </row>
    <row r="5" spans="1:8" x14ac:dyDescent="0.25">
      <c r="A5" s="5">
        <v>2</v>
      </c>
      <c r="B5" s="5">
        <v>14</v>
      </c>
      <c r="C5" s="5">
        <f t="shared" si="0"/>
        <v>7.3502948305095208E-3</v>
      </c>
      <c r="D5" s="5">
        <f t="shared" si="1"/>
        <v>27.593006793732741</v>
      </c>
      <c r="E5" s="5">
        <f t="shared" si="2"/>
        <v>6.6962558693107566</v>
      </c>
      <c r="G5" t="s">
        <v>205</v>
      </c>
    </row>
    <row r="6" spans="1:8" x14ac:dyDescent="0.25">
      <c r="A6" s="5">
        <v>3</v>
      </c>
      <c r="B6" s="5">
        <v>24</v>
      </c>
      <c r="C6" s="5">
        <f t="shared" si="0"/>
        <v>2.0825835353110313E-2</v>
      </c>
      <c r="D6" s="5">
        <f t="shared" si="1"/>
        <v>78.180185915576118</v>
      </c>
      <c r="E6" s="5">
        <f t="shared" si="2"/>
        <v>37.547781595407336</v>
      </c>
    </row>
    <row r="7" spans="1:8" x14ac:dyDescent="0.25">
      <c r="A7" s="5">
        <v>4</v>
      </c>
      <c r="B7" s="5">
        <v>57</v>
      </c>
      <c r="C7" s="5">
        <f t="shared" si="0"/>
        <v>4.4254900125359424E-2</v>
      </c>
      <c r="D7" s="5">
        <f t="shared" si="1"/>
        <v>166.13289507059929</v>
      </c>
      <c r="E7" s="5">
        <f t="shared" si="2"/>
        <v>71.689527720739491</v>
      </c>
      <c r="G7" s="15" t="s">
        <v>37</v>
      </c>
    </row>
    <row r="8" spans="1:8" x14ac:dyDescent="0.25">
      <c r="A8" s="5">
        <v>5</v>
      </c>
      <c r="B8" s="5">
        <v>111</v>
      </c>
      <c r="C8" s="5">
        <f t="shared" si="0"/>
        <v>7.5233330213110974E-2</v>
      </c>
      <c r="D8" s="5">
        <f t="shared" si="1"/>
        <v>282.42592162001858</v>
      </c>
      <c r="E8" s="5">
        <f t="shared" si="2"/>
        <v>104.05152060656245</v>
      </c>
      <c r="G8" s="17" t="s">
        <v>81</v>
      </c>
      <c r="H8" s="17">
        <f>SUM(E3:E25)</f>
        <v>2134.7503035563163</v>
      </c>
    </row>
    <row r="9" spans="1:8" x14ac:dyDescent="0.25">
      <c r="A9" s="5">
        <v>6</v>
      </c>
      <c r="B9" s="5">
        <v>197</v>
      </c>
      <c r="C9" s="5">
        <f t="shared" si="0"/>
        <v>0.10658055113524058</v>
      </c>
      <c r="D9" s="5">
        <f t="shared" si="1"/>
        <v>400.10338896169316</v>
      </c>
      <c r="E9" s="5">
        <f t="shared" si="2"/>
        <v>103.10081780305612</v>
      </c>
    </row>
    <row r="10" spans="1:8" x14ac:dyDescent="0.25">
      <c r="A10" s="5">
        <v>7</v>
      </c>
      <c r="B10" s="5">
        <v>278</v>
      </c>
      <c r="C10" s="5">
        <f t="shared" si="0"/>
        <v>0.1294192406642207</v>
      </c>
      <c r="D10" s="5">
        <f t="shared" si="1"/>
        <v>485.83982945348447</v>
      </c>
      <c r="E10" s="5">
        <f t="shared" si="2"/>
        <v>88.912831119354195</v>
      </c>
      <c r="G10" s="15" t="s">
        <v>207</v>
      </c>
    </row>
    <row r="11" spans="1:8" x14ac:dyDescent="0.25">
      <c r="A11" s="5">
        <v>8</v>
      </c>
      <c r="B11" s="5">
        <v>378</v>
      </c>
      <c r="C11" s="5">
        <f t="shared" si="0"/>
        <v>0.13750794320573451</v>
      </c>
      <c r="D11" s="5">
        <f t="shared" si="1"/>
        <v>516.20481879432737</v>
      </c>
      <c r="E11" s="5">
        <f t="shared" si="2"/>
        <v>37.001924899858686</v>
      </c>
      <c r="G11" t="s">
        <v>212</v>
      </c>
      <c r="H11">
        <v>0</v>
      </c>
    </row>
    <row r="12" spans="1:8" x14ac:dyDescent="0.25">
      <c r="A12" s="5">
        <v>9</v>
      </c>
      <c r="B12" s="5">
        <v>418</v>
      </c>
      <c r="C12" s="5">
        <f t="shared" si="0"/>
        <v>0.12986861302763811</v>
      </c>
      <c r="D12" s="5">
        <f t="shared" si="1"/>
        <v>487.52677330575347</v>
      </c>
      <c r="E12" s="5">
        <f t="shared" si="2"/>
        <v>9.9152958791003591</v>
      </c>
      <c r="G12" t="s">
        <v>40</v>
      </c>
      <c r="H12">
        <v>23</v>
      </c>
    </row>
    <row r="13" spans="1:8" x14ac:dyDescent="0.25">
      <c r="A13" s="5">
        <v>10</v>
      </c>
      <c r="B13" s="5">
        <v>461</v>
      </c>
      <c r="C13" s="5">
        <f t="shared" si="0"/>
        <v>0.11038832107349242</v>
      </c>
      <c r="D13" s="5">
        <f t="shared" si="1"/>
        <v>414.39775730989055</v>
      </c>
      <c r="E13" s="5">
        <f t="shared" si="2"/>
        <v>5.2407837287685659</v>
      </c>
      <c r="G13" t="s">
        <v>122</v>
      </c>
      <c r="H13">
        <v>0.05</v>
      </c>
    </row>
    <row r="14" spans="1:8" x14ac:dyDescent="0.25">
      <c r="A14" s="5">
        <v>11</v>
      </c>
      <c r="B14" s="5">
        <v>433</v>
      </c>
      <c r="C14" s="5">
        <f t="shared" si="0"/>
        <v>8.5300066284062337E-2</v>
      </c>
      <c r="D14" s="5">
        <f t="shared" si="1"/>
        <v>320.21644883037004</v>
      </c>
      <c r="E14" s="5">
        <f t="shared" si="2"/>
        <v>39.723535317733919</v>
      </c>
      <c r="G14" t="s">
        <v>208</v>
      </c>
      <c r="H14">
        <f>_xlfn.CHISQ.INV.RT(H13,22)</f>
        <v>33.9244384714438</v>
      </c>
    </row>
    <row r="15" spans="1:8" x14ac:dyDescent="0.25">
      <c r="A15" s="5">
        <v>12</v>
      </c>
      <c r="B15" s="5">
        <v>413</v>
      </c>
      <c r="C15" s="5">
        <f t="shared" si="0"/>
        <v>6.04208802845441E-2</v>
      </c>
      <c r="D15" s="5">
        <f t="shared" si="1"/>
        <v>226.81998458817856</v>
      </c>
      <c r="E15" s="5">
        <f t="shared" si="2"/>
        <v>152.82162284633469</v>
      </c>
      <c r="G15" t="s">
        <v>209</v>
      </c>
    </row>
    <row r="16" spans="1:8" x14ac:dyDescent="0.25">
      <c r="A16" s="5">
        <v>13</v>
      </c>
      <c r="B16" s="5">
        <v>358</v>
      </c>
      <c r="C16" s="5">
        <f t="shared" si="0"/>
        <v>3.9505960186048107E-2</v>
      </c>
      <c r="D16" s="5">
        <f t="shared" si="1"/>
        <v>148.30537453842459</v>
      </c>
      <c r="E16" s="5">
        <f t="shared" si="2"/>
        <v>296.49522874221719</v>
      </c>
      <c r="G16" s="17" t="s">
        <v>50</v>
      </c>
    </row>
    <row r="17" spans="1:18" x14ac:dyDescent="0.25">
      <c r="A17" s="5">
        <v>14</v>
      </c>
      <c r="B17" s="5">
        <v>219</v>
      </c>
      <c r="C17" s="5">
        <f t="shared" si="0"/>
        <v>2.3985761541529201E-2</v>
      </c>
      <c r="D17" s="5">
        <f t="shared" si="1"/>
        <v>90.042548826900628</v>
      </c>
      <c r="E17" s="5">
        <f t="shared" si="2"/>
        <v>184.69073154550699</v>
      </c>
    </row>
    <row r="18" spans="1:18" x14ac:dyDescent="0.25">
      <c r="A18" s="5">
        <v>15</v>
      </c>
      <c r="B18" s="5">
        <v>145</v>
      </c>
      <c r="C18" s="5">
        <f t="shared" si="0"/>
        <v>1.3591931540199876E-2</v>
      </c>
      <c r="D18" s="5">
        <f t="shared" si="1"/>
        <v>51.024111001910335</v>
      </c>
      <c r="E18" s="5">
        <f t="shared" si="2"/>
        <v>173.08420547788907</v>
      </c>
      <c r="G18" s="15" t="s">
        <v>106</v>
      </c>
    </row>
    <row r="19" spans="1:18" x14ac:dyDescent="0.25">
      <c r="A19" s="5">
        <v>16</v>
      </c>
      <c r="B19" s="5">
        <v>109</v>
      </c>
      <c r="C19" s="5">
        <f t="shared" si="0"/>
        <v>7.2207136307311827E-3</v>
      </c>
      <c r="D19" s="5">
        <f t="shared" si="1"/>
        <v>27.106558969764858</v>
      </c>
      <c r="E19" s="5">
        <f t="shared" si="2"/>
        <v>247.41376030993791</v>
      </c>
      <c r="G19" s="17" t="s">
        <v>210</v>
      </c>
      <c r="H19" s="17"/>
      <c r="I19" s="17"/>
      <c r="J19" s="17"/>
    </row>
    <row r="20" spans="1:18" x14ac:dyDescent="0.25">
      <c r="A20" s="5">
        <v>17</v>
      </c>
      <c r="B20" s="5">
        <v>57</v>
      </c>
      <c r="C20" s="5">
        <f t="shared" si="0"/>
        <v>3.6103568153655939E-3</v>
      </c>
      <c r="D20" s="5">
        <f t="shared" si="1"/>
        <v>13.55327948488244</v>
      </c>
      <c r="E20" s="5">
        <f t="shared" si="2"/>
        <v>139.2738580816708</v>
      </c>
      <c r="G20" s="17" t="s">
        <v>211</v>
      </c>
      <c r="H20" s="17"/>
      <c r="I20" s="17"/>
      <c r="J20" s="17"/>
    </row>
    <row r="21" spans="1:18" x14ac:dyDescent="0.25">
      <c r="A21" s="5">
        <v>18</v>
      </c>
      <c r="B21" s="5">
        <v>43</v>
      </c>
      <c r="C21" s="5">
        <f t="shared" si="0"/>
        <v>1.7048907183670854E-3</v>
      </c>
      <c r="D21" s="5">
        <f t="shared" si="1"/>
        <v>6.4001597567500381</v>
      </c>
      <c r="E21" s="5">
        <f t="shared" si="2"/>
        <v>209.29919826120621</v>
      </c>
    </row>
    <row r="22" spans="1:18" x14ac:dyDescent="0.25">
      <c r="A22" s="5">
        <v>19</v>
      </c>
      <c r="B22" s="5">
        <v>16</v>
      </c>
      <c r="C22" s="5">
        <f t="shared" si="0"/>
        <v>7.6271426874316959E-4</v>
      </c>
      <c r="D22" s="5">
        <f t="shared" si="1"/>
        <v>2.8632293648618585</v>
      </c>
      <c r="E22" s="5">
        <f t="shared" si="2"/>
        <v>60.272762230682808</v>
      </c>
    </row>
    <row r="23" spans="1:18" x14ac:dyDescent="0.25">
      <c r="A23" s="5">
        <v>20</v>
      </c>
      <c r="B23" s="5">
        <v>7</v>
      </c>
      <c r="C23" s="5">
        <f t="shared" si="0"/>
        <v>3.2415356421584628E-4</v>
      </c>
      <c r="D23" s="5">
        <f t="shared" si="1"/>
        <v>1.2168724800662869</v>
      </c>
      <c r="E23" s="5">
        <f t="shared" si="2"/>
        <v>27.484033421474724</v>
      </c>
      <c r="G23" s="4" t="s">
        <v>213</v>
      </c>
      <c r="H23" s="4"/>
      <c r="N23" s="15" t="s">
        <v>104</v>
      </c>
    </row>
    <row r="24" spans="1:18" x14ac:dyDescent="0.25">
      <c r="A24" s="5">
        <v>21</v>
      </c>
      <c r="B24" s="5">
        <v>8</v>
      </c>
      <c r="C24" s="5">
        <f>_xlfn.POISSON.DIST(A24,8.5,0)</f>
        <v>1.3120501408736654E-4</v>
      </c>
      <c r="D24" s="5">
        <f t="shared" si="1"/>
        <v>0.49254362288397402</v>
      </c>
      <c r="E24" s="5">
        <f t="shared" si="2"/>
        <v>114.43027304726057</v>
      </c>
      <c r="J24" s="25" t="s">
        <v>214</v>
      </c>
      <c r="K24" s="25">
        <f>SUMPRODUCT(A3:A25,B3:B25)/B26</f>
        <v>10.439797549280767</v>
      </c>
      <c r="N24" t="s">
        <v>215</v>
      </c>
    </row>
    <row r="25" spans="1:18" x14ac:dyDescent="0.25">
      <c r="A25" s="5">
        <v>22</v>
      </c>
      <c r="B25" s="5">
        <v>3</v>
      </c>
      <c r="C25" s="5">
        <f>1-_xlfn.POISSON.DIST(A24,8.5,1)</f>
        <v>7.9387018088517003E-5</v>
      </c>
      <c r="D25" s="5">
        <f t="shared" si="1"/>
        <v>0.29801886590429283</v>
      </c>
      <c r="E25" s="5">
        <f t="shared" si="2"/>
        <v>24.497449270052936</v>
      </c>
      <c r="G25" s="24" t="s">
        <v>0</v>
      </c>
      <c r="H25" s="24" t="s">
        <v>1</v>
      </c>
      <c r="I25" s="24" t="s">
        <v>202</v>
      </c>
      <c r="J25" s="24" t="s">
        <v>203</v>
      </c>
      <c r="K25" s="24" t="s">
        <v>206</v>
      </c>
      <c r="N25" t="s">
        <v>216</v>
      </c>
    </row>
    <row r="26" spans="1:18" x14ac:dyDescent="0.25">
      <c r="B26" s="4">
        <f>SUM(B3:B25)</f>
        <v>3754</v>
      </c>
      <c r="C26" s="4">
        <f>SUM(C3:C25)</f>
        <v>1</v>
      </c>
      <c r="D26" s="4">
        <f>SUM(D3:D25)</f>
        <v>3754.0000000000005</v>
      </c>
      <c r="G26" s="5">
        <v>0</v>
      </c>
      <c r="H26" s="5">
        <v>0</v>
      </c>
      <c r="I26" s="5">
        <f t="shared" ref="I26:I47" si="3">_xlfn.POISSON.DIST(G26,$K$24,0)</f>
        <v>2.9245128379646986E-5</v>
      </c>
      <c r="J26" s="5">
        <f>I26*$B$26</f>
        <v>0.10978621193719479</v>
      </c>
      <c r="K26" s="5">
        <f>POWER(H26-J26,2)/J26</f>
        <v>0.10978621193719479</v>
      </c>
    </row>
    <row r="27" spans="1:18" x14ac:dyDescent="0.25">
      <c r="G27" s="5">
        <v>1</v>
      </c>
      <c r="H27" s="5">
        <v>5</v>
      </c>
      <c r="I27" s="5">
        <f t="shared" si="3"/>
        <v>3.0531321958624007E-4</v>
      </c>
      <c r="J27" s="5">
        <f t="shared" ref="J27:J48" si="4">I27*$B$26</f>
        <v>1.1461458263267452</v>
      </c>
      <c r="K27" s="5">
        <f t="shared" ref="K27:K48" si="5">POWER(H27-J27,2)/J27</f>
        <v>12.958378987024881</v>
      </c>
      <c r="N27" s="15" t="s">
        <v>37</v>
      </c>
    </row>
    <row r="28" spans="1:18" x14ac:dyDescent="0.25">
      <c r="G28" s="5">
        <v>2</v>
      </c>
      <c r="H28" s="5">
        <v>14</v>
      </c>
      <c r="I28" s="5">
        <f t="shared" si="3"/>
        <v>1.5937041007997256E-3</v>
      </c>
      <c r="J28" s="5">
        <f t="shared" si="4"/>
        <v>5.9827651944021696</v>
      </c>
      <c r="K28" s="5">
        <f t="shared" si="5"/>
        <v>10.743536114074772</v>
      </c>
      <c r="N28" t="s">
        <v>81</v>
      </c>
      <c r="O28">
        <f>K49</f>
        <v>45.477525346765717</v>
      </c>
      <c r="R28" t="s">
        <v>221</v>
      </c>
    </row>
    <row r="29" spans="1:18" x14ac:dyDescent="0.25">
      <c r="G29" s="5">
        <v>3</v>
      </c>
      <c r="H29" s="5">
        <v>24</v>
      </c>
      <c r="I29" s="5">
        <f t="shared" si="3"/>
        <v>5.5459827219358944E-3</v>
      </c>
      <c r="J29" s="5">
        <f t="shared" si="4"/>
        <v>20.819619138147349</v>
      </c>
      <c r="K29" s="5">
        <f t="shared" si="5"/>
        <v>0.48583129015580478</v>
      </c>
    </row>
    <row r="30" spans="1:18" x14ac:dyDescent="0.25">
      <c r="G30" s="5">
        <v>4</v>
      </c>
      <c r="H30" s="5">
        <v>57</v>
      </c>
      <c r="I30" s="5">
        <f t="shared" si="3"/>
        <v>1.4474734207204954E-2</v>
      </c>
      <c r="J30" s="5">
        <f t="shared" si="4"/>
        <v>54.338152213847401</v>
      </c>
      <c r="K30" s="5">
        <f t="shared" si="5"/>
        <v>0.13039518916213455</v>
      </c>
      <c r="N30" s="15" t="s">
        <v>39</v>
      </c>
      <c r="O30" s="15"/>
    </row>
    <row r="31" spans="1:18" x14ac:dyDescent="0.25">
      <c r="G31" s="5">
        <v>5</v>
      </c>
      <c r="H31" s="5">
        <v>111</v>
      </c>
      <c r="I31" s="5">
        <f t="shared" si="3"/>
        <v>3.0222658940573743E-2</v>
      </c>
      <c r="J31" s="5">
        <f t="shared" si="4"/>
        <v>113.45586166291383</v>
      </c>
      <c r="K31" s="5">
        <f t="shared" si="5"/>
        <v>5.3159496732652099E-2</v>
      </c>
      <c r="N31" t="s">
        <v>212</v>
      </c>
      <c r="O31">
        <v>1</v>
      </c>
    </row>
    <row r="32" spans="1:18" x14ac:dyDescent="0.25">
      <c r="G32" s="5">
        <v>6</v>
      </c>
      <c r="H32" s="5">
        <v>197</v>
      </c>
      <c r="I32" s="5">
        <f t="shared" si="3"/>
        <v>5.2586406790091689E-2</v>
      </c>
      <c r="J32" s="5">
        <f t="shared" si="4"/>
        <v>197.40937109000419</v>
      </c>
      <c r="K32" s="5">
        <f t="shared" si="5"/>
        <v>8.4891962527355749E-4</v>
      </c>
      <c r="N32" t="s">
        <v>40</v>
      </c>
      <c r="O32">
        <v>23</v>
      </c>
    </row>
    <row r="33" spans="7:16" x14ac:dyDescent="0.25">
      <c r="G33" s="5">
        <v>7</v>
      </c>
      <c r="H33" s="5">
        <v>278</v>
      </c>
      <c r="I33" s="5">
        <f t="shared" si="3"/>
        <v>7.8427348676097283E-2</v>
      </c>
      <c r="J33" s="5">
        <f t="shared" si="4"/>
        <v>294.41626693006918</v>
      </c>
      <c r="K33" s="5">
        <f t="shared" si="5"/>
        <v>0.91534962632786276</v>
      </c>
      <c r="N33" t="s">
        <v>122</v>
      </c>
      <c r="O33">
        <v>0.05</v>
      </c>
    </row>
    <row r="34" spans="7:16" x14ac:dyDescent="0.25">
      <c r="G34" s="5">
        <v>8</v>
      </c>
      <c r="H34" s="5">
        <v>378</v>
      </c>
      <c r="I34" s="5">
        <f t="shared" si="3"/>
        <v>0.10234570531316356</v>
      </c>
      <c r="J34" s="5">
        <f t="shared" si="4"/>
        <v>384.20577774561599</v>
      </c>
      <c r="K34" s="5">
        <f t="shared" si="5"/>
        <v>0.10023711161751814</v>
      </c>
      <c r="N34" t="s">
        <v>217</v>
      </c>
      <c r="O34">
        <f>_xlfn.CHISQ.INV.RT(H13,21)</f>
        <v>32.670573340917308</v>
      </c>
    </row>
    <row r="35" spans="7:16" x14ac:dyDescent="0.25">
      <c r="G35" s="5">
        <v>9</v>
      </c>
      <c r="H35" s="5">
        <v>418</v>
      </c>
      <c r="I35" s="5">
        <f t="shared" si="3"/>
        <v>0.1187187159453085</v>
      </c>
      <c r="J35" s="5">
        <f t="shared" si="4"/>
        <v>445.6700596586881</v>
      </c>
      <c r="K35" s="5">
        <f t="shared" si="5"/>
        <v>1.7179350169982486</v>
      </c>
      <c r="N35" t="s">
        <v>218</v>
      </c>
    </row>
    <row r="36" spans="7:16" x14ac:dyDescent="0.25">
      <c r="G36" s="5">
        <v>10</v>
      </c>
      <c r="H36" s="5">
        <v>461</v>
      </c>
      <c r="I36" s="5">
        <f t="shared" si="3"/>
        <v>0.12393993597795912</v>
      </c>
      <c r="J36" s="5">
        <f t="shared" si="4"/>
        <v>465.2705196612585</v>
      </c>
      <c r="K36" s="5">
        <f t="shared" si="5"/>
        <v>3.9197278586387108E-2</v>
      </c>
      <c r="N36" s="17" t="s">
        <v>63</v>
      </c>
    </row>
    <row r="37" spans="7:16" x14ac:dyDescent="0.25">
      <c r="G37" s="5">
        <v>11</v>
      </c>
      <c r="H37" s="5">
        <v>433</v>
      </c>
      <c r="I37" s="5">
        <f t="shared" si="3"/>
        <v>0.11762798544370116</v>
      </c>
      <c r="J37" s="5">
        <f t="shared" si="4"/>
        <v>441.57545735565418</v>
      </c>
      <c r="K37" s="5">
        <f t="shared" si="5"/>
        <v>0.16653658538684127</v>
      </c>
    </row>
    <row r="38" spans="7:16" x14ac:dyDescent="0.25">
      <c r="G38" s="5">
        <v>12</v>
      </c>
      <c r="H38" s="5">
        <v>413</v>
      </c>
      <c r="I38" s="5">
        <f t="shared" si="3"/>
        <v>0.10233436284683209</v>
      </c>
      <c r="J38" s="5">
        <f t="shared" si="4"/>
        <v>384.16319812700766</v>
      </c>
      <c r="K38" s="5">
        <f t="shared" si="5"/>
        <v>2.1646038618912509</v>
      </c>
      <c r="N38" s="15" t="s">
        <v>106</v>
      </c>
    </row>
    <row r="39" spans="7:16" x14ac:dyDescent="0.25">
      <c r="G39" s="5">
        <v>13</v>
      </c>
      <c r="H39" s="5">
        <v>358</v>
      </c>
      <c r="I39" s="5">
        <f t="shared" si="3"/>
        <v>8.2180771573505132E-2</v>
      </c>
      <c r="J39" s="5">
        <f t="shared" si="4"/>
        <v>308.50661648693824</v>
      </c>
      <c r="K39" s="5">
        <f t="shared" si="5"/>
        <v>7.9401700989927582</v>
      </c>
      <c r="N39" s="17" t="s">
        <v>219</v>
      </c>
      <c r="O39" s="17"/>
      <c r="P39" s="17"/>
    </row>
    <row r="40" spans="7:16" x14ac:dyDescent="0.25">
      <c r="G40" s="5">
        <v>14</v>
      </c>
      <c r="H40" s="5">
        <v>219</v>
      </c>
      <c r="I40" s="5">
        <f t="shared" si="3"/>
        <v>6.1282186976505809E-2</v>
      </c>
      <c r="J40" s="5">
        <f t="shared" si="4"/>
        <v>230.05332990980281</v>
      </c>
      <c r="K40" s="5">
        <f t="shared" si="5"/>
        <v>0.53107730343587345</v>
      </c>
      <c r="N40" s="17" t="s">
        <v>220</v>
      </c>
      <c r="O40" s="17"/>
      <c r="P40" s="17"/>
    </row>
    <row r="41" spans="7:16" x14ac:dyDescent="0.25">
      <c r="G41" s="5">
        <v>15</v>
      </c>
      <c r="H41" s="5">
        <v>145</v>
      </c>
      <c r="I41" s="5">
        <f t="shared" si="3"/>
        <v>4.2651575027459428E-2</v>
      </c>
      <c r="J41" s="5">
        <f t="shared" si="4"/>
        <v>160.11401265308268</v>
      </c>
      <c r="K41" s="5">
        <f t="shared" si="5"/>
        <v>1.4266919846202817</v>
      </c>
    </row>
    <row r="42" spans="7:16" x14ac:dyDescent="0.25">
      <c r="G42" s="5">
        <v>16</v>
      </c>
      <c r="H42" s="5">
        <v>109</v>
      </c>
      <c r="I42" s="5">
        <f t="shared" si="3"/>
        <v>2.7829613027789732E-2</v>
      </c>
      <c r="J42" s="5">
        <f t="shared" si="4"/>
        <v>104.47236730632265</v>
      </c>
      <c r="K42" s="5">
        <f t="shared" si="5"/>
        <v>0.19621894609461354</v>
      </c>
    </row>
    <row r="43" spans="7:16" x14ac:dyDescent="0.25">
      <c r="G43" s="5">
        <v>17</v>
      </c>
      <c r="H43" s="5">
        <v>57</v>
      </c>
      <c r="I43" s="5">
        <f t="shared" si="3"/>
        <v>1.7090325052055957E-2</v>
      </c>
      <c r="J43" s="5">
        <f t="shared" si="4"/>
        <v>64.157080245418058</v>
      </c>
      <c r="K43" s="5">
        <f t="shared" si="5"/>
        <v>0.7984122320312681</v>
      </c>
    </row>
    <row r="44" spans="7:16" x14ac:dyDescent="0.25">
      <c r="G44" s="5">
        <v>18</v>
      </c>
      <c r="H44" s="5">
        <v>43</v>
      </c>
      <c r="I44" s="5">
        <f t="shared" si="3"/>
        <v>9.9121963108258701E-3</v>
      </c>
      <c r="J44" s="5">
        <f t="shared" si="4"/>
        <v>37.210384950840314</v>
      </c>
      <c r="K44" s="5">
        <f t="shared" si="5"/>
        <v>0.90081418028166205</v>
      </c>
    </row>
    <row r="45" spans="7:16" x14ac:dyDescent="0.25">
      <c r="G45" s="5">
        <v>19</v>
      </c>
      <c r="H45" s="5">
        <v>16</v>
      </c>
      <c r="I45" s="5">
        <f t="shared" si="3"/>
        <v>5.4463854080920833E-3</v>
      </c>
      <c r="J45" s="5">
        <f t="shared" si="4"/>
        <v>20.44573082197768</v>
      </c>
      <c r="K45" s="5">
        <f t="shared" si="5"/>
        <v>0.96668212614033366</v>
      </c>
    </row>
    <row r="46" spans="7:16" x14ac:dyDescent="0.25">
      <c r="G46" s="5">
        <v>20</v>
      </c>
      <c r="H46" s="5">
        <v>7</v>
      </c>
      <c r="I46" s="5">
        <f t="shared" si="3"/>
        <v>2.842958051791908E-3</v>
      </c>
      <c r="J46" s="5">
        <f t="shared" si="4"/>
        <v>10.672464526426824</v>
      </c>
      <c r="K46" s="5">
        <f t="shared" si="5"/>
        <v>1.2637189530559991</v>
      </c>
    </row>
    <row r="47" spans="7:16" x14ac:dyDescent="0.25">
      <c r="G47" s="5">
        <v>21</v>
      </c>
      <c r="H47" s="5">
        <v>8</v>
      </c>
      <c r="I47" s="5">
        <f t="shared" si="3"/>
        <v>1.4133288810383468E-3</v>
      </c>
      <c r="J47" s="5">
        <f t="shared" si="4"/>
        <v>5.3056366194179541</v>
      </c>
      <c r="K47" s="5">
        <f t="shared" si="5"/>
        <v>1.3682795387932001</v>
      </c>
    </row>
    <row r="48" spans="7:16" x14ac:dyDescent="0.25">
      <c r="G48" s="5">
        <v>22</v>
      </c>
      <c r="H48" s="5">
        <v>3</v>
      </c>
      <c r="I48" s="5">
        <f>1-_xlfn.POISSON.DIST(G47,$K$24,1)</f>
        <v>1.198560379302327E-3</v>
      </c>
      <c r="J48" s="5">
        <f t="shared" si="4"/>
        <v>4.4993956639009358</v>
      </c>
      <c r="K48" s="5">
        <f t="shared" si="5"/>
        <v>0.49966429379890759</v>
      </c>
    </row>
    <row r="49" spans="9:11" x14ac:dyDescent="0.25">
      <c r="I49" s="4">
        <f>SUM(I26:I48)</f>
        <v>1.0000000000000002</v>
      </c>
      <c r="J49" s="4">
        <f t="shared" ref="J49:K49" si="6">SUM(J26:J48)</f>
        <v>3754</v>
      </c>
      <c r="K49" s="4">
        <f t="shared" si="6"/>
        <v>45.477525346765717</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72788-81D4-4149-84D4-5627B77172B2}">
  <dimension ref="A1:D4"/>
  <sheetViews>
    <sheetView workbookViewId="0">
      <selection activeCell="A2" sqref="A2:B15"/>
    </sheetView>
  </sheetViews>
  <sheetFormatPr baseColWidth="10" defaultRowHeight="15" x14ac:dyDescent="0.25"/>
  <cols>
    <col min="1" max="1" width="13.28515625" bestFit="1" customWidth="1"/>
  </cols>
  <sheetData>
    <row r="1" spans="1:4" x14ac:dyDescent="0.25">
      <c r="A1" s="2"/>
      <c r="B1" s="34" t="s">
        <v>30</v>
      </c>
      <c r="C1" s="34"/>
      <c r="D1" s="34"/>
    </row>
    <row r="2" spans="1:4" x14ac:dyDescent="0.25">
      <c r="A2" s="3"/>
      <c r="B2" s="1" t="s">
        <v>27</v>
      </c>
      <c r="C2" s="1" t="s">
        <v>28</v>
      </c>
      <c r="D2" s="1" t="s">
        <v>29</v>
      </c>
    </row>
    <row r="3" spans="1:4" x14ac:dyDescent="0.25">
      <c r="A3" s="2" t="s">
        <v>25</v>
      </c>
      <c r="B3">
        <v>45</v>
      </c>
      <c r="C3">
        <v>58</v>
      </c>
      <c r="D3">
        <v>49</v>
      </c>
    </row>
    <row r="4" spans="1:4" x14ac:dyDescent="0.25">
      <c r="A4" s="2" t="s">
        <v>26</v>
      </c>
      <c r="B4">
        <v>21</v>
      </c>
      <c r="C4">
        <v>15</v>
      </c>
      <c r="D4">
        <v>35</v>
      </c>
    </row>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F56E3-6E62-45C2-9437-103CC85E0F9F}">
  <sheetPr>
    <tabColor theme="4"/>
  </sheetPr>
  <dimension ref="A1:K24"/>
  <sheetViews>
    <sheetView workbookViewId="0">
      <selection activeCell="E21" sqref="E21"/>
    </sheetView>
  </sheetViews>
  <sheetFormatPr baseColWidth="10" defaultRowHeight="15" x14ac:dyDescent="0.25"/>
  <cols>
    <col min="6" max="6" width="16.7109375" customWidth="1"/>
    <col min="7" max="7" width="16.42578125" customWidth="1"/>
  </cols>
  <sheetData>
    <row r="1" spans="1:11" x14ac:dyDescent="0.25">
      <c r="A1" s="25" t="s">
        <v>152</v>
      </c>
      <c r="B1" s="25"/>
      <c r="C1" s="25"/>
    </row>
    <row r="2" spans="1:11" ht="27" customHeight="1" x14ac:dyDescent="0.25">
      <c r="A2" s="19" t="s">
        <v>9</v>
      </c>
      <c r="B2" s="19" t="s">
        <v>91</v>
      </c>
      <c r="C2" s="20" t="s">
        <v>135</v>
      </c>
      <c r="D2" s="19" t="s">
        <v>103</v>
      </c>
    </row>
    <row r="3" spans="1:11" x14ac:dyDescent="0.25">
      <c r="A3" s="5">
        <v>139</v>
      </c>
      <c r="B3" s="5">
        <f t="shared" ref="B3:B22" si="0">A3-$G$3</f>
        <v>-21</v>
      </c>
      <c r="C3" s="5">
        <f t="shared" ref="C3:C22" si="1">ABS(B3)</f>
        <v>21</v>
      </c>
      <c r="D3" s="5">
        <v>17</v>
      </c>
      <c r="F3" s="5" t="s">
        <v>137</v>
      </c>
      <c r="G3" s="5">
        <v>160</v>
      </c>
    </row>
    <row r="4" spans="1:11" x14ac:dyDescent="0.25">
      <c r="A4" s="5">
        <v>148</v>
      </c>
      <c r="B4" s="5">
        <f t="shared" si="0"/>
        <v>-12</v>
      </c>
      <c r="C4" s="5">
        <f t="shared" si="1"/>
        <v>12</v>
      </c>
      <c r="D4" s="5">
        <v>14</v>
      </c>
      <c r="F4" s="5" t="s">
        <v>108</v>
      </c>
      <c r="G4" s="5">
        <f>SUM(D3:D6)</f>
        <v>44</v>
      </c>
    </row>
    <row r="5" spans="1:11" x14ac:dyDescent="0.25">
      <c r="A5" s="5">
        <v>151</v>
      </c>
      <c r="B5" s="5">
        <f t="shared" si="0"/>
        <v>-9</v>
      </c>
      <c r="C5" s="5">
        <f t="shared" si="1"/>
        <v>9</v>
      </c>
      <c r="D5" s="5">
        <v>10.5</v>
      </c>
      <c r="F5" s="5" t="s">
        <v>109</v>
      </c>
      <c r="G5" s="5">
        <f>SUM(D8:D22)</f>
        <v>146</v>
      </c>
    </row>
    <row r="6" spans="1:11" x14ac:dyDescent="0.25">
      <c r="A6" s="5">
        <v>158</v>
      </c>
      <c r="B6" s="5">
        <f t="shared" si="0"/>
        <v>-2</v>
      </c>
      <c r="C6" s="5">
        <f t="shared" si="1"/>
        <v>2</v>
      </c>
      <c r="D6" s="5">
        <v>2.5</v>
      </c>
      <c r="F6" s="22" t="s">
        <v>140</v>
      </c>
      <c r="G6" s="5">
        <v>0.01</v>
      </c>
    </row>
    <row r="7" spans="1:11" x14ac:dyDescent="0.25">
      <c r="A7" s="8">
        <v>160</v>
      </c>
      <c r="B7" s="8">
        <f t="shared" si="0"/>
        <v>0</v>
      </c>
      <c r="C7" s="8">
        <f t="shared" si="1"/>
        <v>0</v>
      </c>
      <c r="D7" s="8"/>
    </row>
    <row r="8" spans="1:11" x14ac:dyDescent="0.25">
      <c r="A8" s="5">
        <v>161</v>
      </c>
      <c r="B8" s="5">
        <f t="shared" si="0"/>
        <v>1</v>
      </c>
      <c r="C8" s="5">
        <f t="shared" si="1"/>
        <v>1</v>
      </c>
      <c r="D8" s="5">
        <v>1</v>
      </c>
      <c r="F8" s="15" t="s">
        <v>104</v>
      </c>
    </row>
    <row r="9" spans="1:11" x14ac:dyDescent="0.25">
      <c r="A9" s="5">
        <v>162</v>
      </c>
      <c r="B9" s="5">
        <f t="shared" si="0"/>
        <v>2</v>
      </c>
      <c r="C9" s="5">
        <f t="shared" si="1"/>
        <v>2</v>
      </c>
      <c r="D9" s="5">
        <v>2.5</v>
      </c>
      <c r="F9" t="s">
        <v>133</v>
      </c>
    </row>
    <row r="10" spans="1:11" x14ac:dyDescent="0.25">
      <c r="A10" s="5">
        <v>163</v>
      </c>
      <c r="B10" s="5">
        <f t="shared" si="0"/>
        <v>3</v>
      </c>
      <c r="C10" s="5">
        <f t="shared" si="1"/>
        <v>3</v>
      </c>
      <c r="D10" s="5">
        <v>5</v>
      </c>
      <c r="F10" t="s">
        <v>132</v>
      </c>
      <c r="H10" s="18" t="s">
        <v>134</v>
      </c>
      <c r="I10" s="18"/>
      <c r="J10" s="18"/>
      <c r="K10" s="18"/>
    </row>
    <row r="11" spans="1:11" x14ac:dyDescent="0.25">
      <c r="A11" s="5">
        <v>163</v>
      </c>
      <c r="B11" s="5">
        <f t="shared" si="0"/>
        <v>3</v>
      </c>
      <c r="C11" s="5">
        <f t="shared" si="1"/>
        <v>3</v>
      </c>
      <c r="D11" s="5">
        <v>5</v>
      </c>
    </row>
    <row r="12" spans="1:11" x14ac:dyDescent="0.25">
      <c r="A12" s="5">
        <v>163</v>
      </c>
      <c r="B12" s="5">
        <f t="shared" si="0"/>
        <v>3</v>
      </c>
      <c r="C12" s="5">
        <f t="shared" si="1"/>
        <v>3</v>
      </c>
      <c r="D12" s="5">
        <v>5</v>
      </c>
      <c r="F12" s="15" t="s">
        <v>37</v>
      </c>
    </row>
    <row r="13" spans="1:11" x14ac:dyDescent="0.25">
      <c r="A13" s="5">
        <v>165</v>
      </c>
      <c r="B13" s="5">
        <f t="shared" si="0"/>
        <v>5</v>
      </c>
      <c r="C13" s="5">
        <f t="shared" si="1"/>
        <v>5</v>
      </c>
      <c r="D13" s="5">
        <v>7.5</v>
      </c>
      <c r="F13" s="17" t="s">
        <v>108</v>
      </c>
      <c r="G13" s="17">
        <f>G4</f>
        <v>44</v>
      </c>
    </row>
    <row r="14" spans="1:11" x14ac:dyDescent="0.25">
      <c r="A14" s="5">
        <v>165</v>
      </c>
      <c r="B14" s="5">
        <f t="shared" si="0"/>
        <v>5</v>
      </c>
      <c r="C14" s="5">
        <f t="shared" si="1"/>
        <v>5</v>
      </c>
      <c r="D14" s="5">
        <v>7.5</v>
      </c>
    </row>
    <row r="15" spans="1:11" x14ac:dyDescent="0.25">
      <c r="A15" s="5">
        <v>166</v>
      </c>
      <c r="B15" s="5">
        <f t="shared" si="0"/>
        <v>6</v>
      </c>
      <c r="C15" s="5">
        <f t="shared" si="1"/>
        <v>6</v>
      </c>
      <c r="D15" s="5">
        <v>9</v>
      </c>
    </row>
    <row r="16" spans="1:11" x14ac:dyDescent="0.25">
      <c r="A16" s="5">
        <v>169</v>
      </c>
      <c r="B16" s="5">
        <f t="shared" si="0"/>
        <v>9</v>
      </c>
      <c r="C16" s="5">
        <f t="shared" si="1"/>
        <v>9</v>
      </c>
      <c r="D16" s="5">
        <v>10.5</v>
      </c>
      <c r="F16" s="15" t="s">
        <v>39</v>
      </c>
    </row>
    <row r="17" spans="1:9" x14ac:dyDescent="0.25">
      <c r="A17" s="5">
        <v>171</v>
      </c>
      <c r="B17" s="5">
        <f t="shared" si="0"/>
        <v>11</v>
      </c>
      <c r="C17" s="5">
        <f t="shared" si="1"/>
        <v>11</v>
      </c>
      <c r="D17" s="5">
        <v>12</v>
      </c>
      <c r="F17" s="17" t="s">
        <v>136</v>
      </c>
      <c r="G17" s="17">
        <v>38</v>
      </c>
    </row>
    <row r="18" spans="1:9" x14ac:dyDescent="0.25">
      <c r="A18" s="5">
        <v>172</v>
      </c>
      <c r="B18" s="5">
        <f t="shared" si="0"/>
        <v>12</v>
      </c>
      <c r="C18" s="5">
        <f t="shared" si="1"/>
        <v>12</v>
      </c>
      <c r="D18" s="5">
        <v>14</v>
      </c>
      <c r="F18" t="s">
        <v>139</v>
      </c>
    </row>
    <row r="19" spans="1:9" x14ac:dyDescent="0.25">
      <c r="A19" s="5">
        <v>172</v>
      </c>
      <c r="B19" s="5">
        <f t="shared" si="0"/>
        <v>12</v>
      </c>
      <c r="C19" s="5">
        <f t="shared" si="1"/>
        <v>12</v>
      </c>
      <c r="D19" s="5">
        <v>14</v>
      </c>
      <c r="F19" s="17" t="s">
        <v>74</v>
      </c>
    </row>
    <row r="20" spans="1:9" x14ac:dyDescent="0.25">
      <c r="A20" s="5">
        <v>173</v>
      </c>
      <c r="B20" s="5">
        <f t="shared" si="0"/>
        <v>13</v>
      </c>
      <c r="C20" s="5">
        <f t="shared" si="1"/>
        <v>13</v>
      </c>
      <c r="D20" s="5">
        <v>16</v>
      </c>
    </row>
    <row r="21" spans="1:9" x14ac:dyDescent="0.25">
      <c r="A21" s="5">
        <v>187</v>
      </c>
      <c r="B21" s="5">
        <f t="shared" si="0"/>
        <v>27</v>
      </c>
      <c r="C21" s="5">
        <f t="shared" si="1"/>
        <v>27</v>
      </c>
      <c r="D21" s="5">
        <v>18</v>
      </c>
      <c r="F21" s="15" t="s">
        <v>106</v>
      </c>
    </row>
    <row r="22" spans="1:9" x14ac:dyDescent="0.25">
      <c r="A22" s="5">
        <v>189</v>
      </c>
      <c r="B22" s="5">
        <f t="shared" si="0"/>
        <v>29</v>
      </c>
      <c r="C22" s="5">
        <f t="shared" si="1"/>
        <v>29</v>
      </c>
      <c r="D22" s="5">
        <v>19</v>
      </c>
      <c r="F22" s="23" t="s">
        <v>141</v>
      </c>
      <c r="G22" s="23"/>
      <c r="H22" s="23"/>
      <c r="I22" s="23"/>
    </row>
    <row r="23" spans="1:9" x14ac:dyDescent="0.25">
      <c r="F23" s="23" t="s">
        <v>142</v>
      </c>
      <c r="G23" s="23"/>
      <c r="H23" s="23"/>
      <c r="I23" s="23"/>
    </row>
    <row r="24" spans="1:9" x14ac:dyDescent="0.25">
      <c r="F24" s="23" t="s">
        <v>143</v>
      </c>
      <c r="G24" s="23"/>
      <c r="H24" s="23"/>
      <c r="I24" s="23"/>
    </row>
  </sheetData>
  <sortState xmlns:xlrd2="http://schemas.microsoft.com/office/spreadsheetml/2017/richdata2" ref="A3:D22">
    <sortCondition ref="B3:B2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6A1F8-0BD8-4F8C-B00F-D770C1D4B1FC}">
  <sheetPr>
    <tabColor theme="7"/>
  </sheetPr>
  <dimension ref="A1:C11"/>
  <sheetViews>
    <sheetView workbookViewId="0">
      <selection activeCell="H16" sqref="H16"/>
    </sheetView>
  </sheetViews>
  <sheetFormatPr baseColWidth="10" defaultRowHeight="15" x14ac:dyDescent="0.25"/>
  <sheetData>
    <row r="1" spans="1:3" x14ac:dyDescent="0.25">
      <c r="A1" t="s">
        <v>11</v>
      </c>
      <c r="B1" t="s">
        <v>12</v>
      </c>
      <c r="C1" t="s">
        <v>13</v>
      </c>
    </row>
    <row r="2" spans="1:3" x14ac:dyDescent="0.25">
      <c r="A2">
        <v>1</v>
      </c>
      <c r="B2">
        <v>172</v>
      </c>
      <c r="C2">
        <v>201</v>
      </c>
    </row>
    <row r="3" spans="1:3" x14ac:dyDescent="0.25">
      <c r="A3">
        <v>2</v>
      </c>
      <c r="B3">
        <v>165</v>
      </c>
      <c r="C3">
        <v>179</v>
      </c>
    </row>
    <row r="4" spans="1:3" x14ac:dyDescent="0.25">
      <c r="A4">
        <v>3</v>
      </c>
      <c r="B4">
        <v>206</v>
      </c>
      <c r="C4">
        <v>159</v>
      </c>
    </row>
    <row r="5" spans="1:3" x14ac:dyDescent="0.25">
      <c r="A5">
        <v>4</v>
      </c>
      <c r="B5">
        <v>184</v>
      </c>
      <c r="C5">
        <v>192</v>
      </c>
    </row>
    <row r="6" spans="1:3" x14ac:dyDescent="0.25">
      <c r="A6">
        <v>5</v>
      </c>
      <c r="B6">
        <v>174</v>
      </c>
      <c r="C6">
        <v>177</v>
      </c>
    </row>
    <row r="7" spans="1:3" x14ac:dyDescent="0.25">
      <c r="A7">
        <v>6</v>
      </c>
      <c r="B7">
        <v>142</v>
      </c>
      <c r="C7">
        <v>170</v>
      </c>
    </row>
    <row r="8" spans="1:3" x14ac:dyDescent="0.25">
      <c r="A8">
        <v>7</v>
      </c>
      <c r="B8">
        <v>190</v>
      </c>
      <c r="C8">
        <v>182</v>
      </c>
    </row>
    <row r="9" spans="1:3" x14ac:dyDescent="0.25">
      <c r="A9">
        <v>8</v>
      </c>
      <c r="B9">
        <v>169</v>
      </c>
      <c r="C9">
        <v>179</v>
      </c>
    </row>
    <row r="10" spans="1:3" x14ac:dyDescent="0.25">
      <c r="A10">
        <v>9</v>
      </c>
      <c r="B10">
        <v>161</v>
      </c>
      <c r="C10">
        <v>169</v>
      </c>
    </row>
    <row r="11" spans="1:3" x14ac:dyDescent="0.25">
      <c r="A11">
        <v>10</v>
      </c>
      <c r="B11">
        <v>200</v>
      </c>
      <c r="C11">
        <v>210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2918D-276F-4547-B4C1-891593BF0226}">
  <sheetPr>
    <tabColor theme="7"/>
  </sheetPr>
  <dimension ref="A1:I29"/>
  <sheetViews>
    <sheetView workbookViewId="0">
      <selection activeCell="D15" sqref="D15"/>
    </sheetView>
  </sheetViews>
  <sheetFormatPr baseColWidth="10" defaultRowHeight="15" x14ac:dyDescent="0.25"/>
  <cols>
    <col min="7" max="7" width="16.7109375" customWidth="1"/>
    <col min="8" max="8" width="13.85546875" customWidth="1"/>
    <col min="9" max="9" width="14.140625" customWidth="1"/>
  </cols>
  <sheetData>
    <row r="1" spans="1:9" x14ac:dyDescent="0.25">
      <c r="A1" s="25" t="s">
        <v>64</v>
      </c>
      <c r="B1" s="25"/>
    </row>
    <row r="2" spans="1:9" x14ac:dyDescent="0.25">
      <c r="A2" s="25" t="s">
        <v>234</v>
      </c>
      <c r="B2" s="25"/>
      <c r="C2" s="25"/>
      <c r="D2" s="25"/>
      <c r="E2" s="25"/>
      <c r="G2" t="s">
        <v>66</v>
      </c>
    </row>
    <row r="3" spans="1:9" x14ac:dyDescent="0.25">
      <c r="A3" t="s">
        <v>11</v>
      </c>
      <c r="B3" t="s">
        <v>12</v>
      </c>
      <c r="C3" t="s">
        <v>13</v>
      </c>
      <c r="D3" t="s">
        <v>65</v>
      </c>
    </row>
    <row r="4" spans="1:9" x14ac:dyDescent="0.25">
      <c r="A4">
        <v>1</v>
      </c>
      <c r="B4">
        <v>172</v>
      </c>
      <c r="C4">
        <v>201</v>
      </c>
      <c r="D4">
        <f>B4-C4</f>
        <v>-29</v>
      </c>
      <c r="E4">
        <f>IF(D4&lt;0,0,1)</f>
        <v>0</v>
      </c>
    </row>
    <row r="5" spans="1:9" x14ac:dyDescent="0.25">
      <c r="A5">
        <v>2</v>
      </c>
      <c r="B5">
        <v>165</v>
      </c>
      <c r="C5">
        <v>179</v>
      </c>
      <c r="D5">
        <f t="shared" ref="D5:D13" si="0">B5-C5</f>
        <v>-14</v>
      </c>
      <c r="E5">
        <f t="shared" ref="E5:E13" si="1">IF(D5&lt;0,0,1)</f>
        <v>0</v>
      </c>
      <c r="G5" s="15" t="s">
        <v>37</v>
      </c>
    </row>
    <row r="6" spans="1:9" x14ac:dyDescent="0.25">
      <c r="A6">
        <v>3</v>
      </c>
      <c r="B6">
        <v>206</v>
      </c>
      <c r="C6">
        <v>159</v>
      </c>
      <c r="D6">
        <f t="shared" si="0"/>
        <v>47</v>
      </c>
      <c r="E6">
        <f t="shared" si="1"/>
        <v>1</v>
      </c>
      <c r="G6" t="s">
        <v>67</v>
      </c>
      <c r="H6">
        <f>SUM(E4:E13)</f>
        <v>2</v>
      </c>
    </row>
    <row r="7" spans="1:9" x14ac:dyDescent="0.25">
      <c r="A7">
        <v>4</v>
      </c>
      <c r="B7">
        <v>184</v>
      </c>
      <c r="C7">
        <v>192</v>
      </c>
      <c r="D7">
        <f t="shared" si="0"/>
        <v>-8</v>
      </c>
      <c r="E7">
        <f t="shared" si="1"/>
        <v>0</v>
      </c>
    </row>
    <row r="8" spans="1:9" x14ac:dyDescent="0.25">
      <c r="A8">
        <v>5</v>
      </c>
      <c r="B8">
        <v>174</v>
      </c>
      <c r="C8">
        <v>177</v>
      </c>
      <c r="D8">
        <f t="shared" si="0"/>
        <v>-3</v>
      </c>
      <c r="E8">
        <f t="shared" si="1"/>
        <v>0</v>
      </c>
      <c r="G8" s="15" t="s">
        <v>68</v>
      </c>
    </row>
    <row r="9" spans="1:9" x14ac:dyDescent="0.25">
      <c r="A9">
        <v>6</v>
      </c>
      <c r="B9">
        <v>142</v>
      </c>
      <c r="C9">
        <v>170</v>
      </c>
      <c r="D9">
        <f t="shared" si="0"/>
        <v>-28</v>
      </c>
      <c r="E9">
        <f t="shared" si="1"/>
        <v>0</v>
      </c>
    </row>
    <row r="10" spans="1:9" x14ac:dyDescent="0.25">
      <c r="A10">
        <v>7</v>
      </c>
      <c r="B10">
        <v>190</v>
      </c>
      <c r="C10">
        <v>182</v>
      </c>
      <c r="D10">
        <f t="shared" si="0"/>
        <v>8</v>
      </c>
      <c r="E10">
        <f t="shared" si="1"/>
        <v>1</v>
      </c>
      <c r="G10" s="6" t="s">
        <v>69</v>
      </c>
      <c r="H10" s="6" t="s">
        <v>70</v>
      </c>
      <c r="I10" s="6" t="s">
        <v>71</v>
      </c>
    </row>
    <row r="11" spans="1:9" x14ac:dyDescent="0.25">
      <c r="A11">
        <v>8</v>
      </c>
      <c r="B11">
        <v>169</v>
      </c>
      <c r="C11">
        <v>179</v>
      </c>
      <c r="D11">
        <f t="shared" si="0"/>
        <v>-10</v>
      </c>
      <c r="E11">
        <f t="shared" si="1"/>
        <v>0</v>
      </c>
      <c r="G11" s="5">
        <v>0</v>
      </c>
      <c r="H11" s="5">
        <f>_xlfn.BINOM.DIST(G11,10,0.5,0)</f>
        <v>9.765625E-4</v>
      </c>
      <c r="I11" s="5" t="s">
        <v>72</v>
      </c>
    </row>
    <row r="12" spans="1:9" x14ac:dyDescent="0.25">
      <c r="A12">
        <v>9</v>
      </c>
      <c r="B12">
        <v>161</v>
      </c>
      <c r="C12">
        <v>169</v>
      </c>
      <c r="D12">
        <f t="shared" si="0"/>
        <v>-8</v>
      </c>
      <c r="E12">
        <f t="shared" si="1"/>
        <v>0</v>
      </c>
      <c r="G12" s="8">
        <v>1</v>
      </c>
      <c r="H12" s="8">
        <f>_xlfn.BINOM.DIST(G12,10,0.5,0)+H11</f>
        <v>1.0742187500000002E-2</v>
      </c>
      <c r="I12" s="8" t="s">
        <v>72</v>
      </c>
    </row>
    <row r="13" spans="1:9" x14ac:dyDescent="0.25">
      <c r="A13">
        <v>10</v>
      </c>
      <c r="B13">
        <v>200</v>
      </c>
      <c r="C13">
        <v>210</v>
      </c>
      <c r="D13">
        <f t="shared" si="0"/>
        <v>-10</v>
      </c>
      <c r="E13">
        <f t="shared" si="1"/>
        <v>0</v>
      </c>
      <c r="G13" s="5">
        <v>2</v>
      </c>
      <c r="H13" s="5">
        <f t="shared" ref="H13:H21" si="2">_xlfn.BINOM.DIST(G13,10,0.5,0)+H12</f>
        <v>5.4687499999999972E-2</v>
      </c>
      <c r="I13" s="5"/>
    </row>
    <row r="14" spans="1:9" x14ac:dyDescent="0.25">
      <c r="G14" s="5">
        <v>3</v>
      </c>
      <c r="H14" s="5">
        <f t="shared" si="2"/>
        <v>0.171875</v>
      </c>
      <c r="I14" s="5"/>
    </row>
    <row r="15" spans="1:9" x14ac:dyDescent="0.25">
      <c r="G15" s="5">
        <v>4</v>
      </c>
      <c r="H15" s="5">
        <f t="shared" si="2"/>
        <v>0.37695312500000006</v>
      </c>
      <c r="I15" s="5"/>
    </row>
    <row r="16" spans="1:9" x14ac:dyDescent="0.25">
      <c r="G16" s="5">
        <v>5</v>
      </c>
      <c r="H16" s="5">
        <f t="shared" si="2"/>
        <v>0.62304687500000011</v>
      </c>
      <c r="I16" s="5"/>
    </row>
    <row r="17" spans="7:9" x14ac:dyDescent="0.25">
      <c r="G17" s="5">
        <v>6</v>
      </c>
      <c r="H17" s="5">
        <f t="shared" si="2"/>
        <v>0.82812500000000022</v>
      </c>
      <c r="I17" s="5"/>
    </row>
    <row r="18" spans="7:9" x14ac:dyDescent="0.25">
      <c r="G18" s="5">
        <v>7</v>
      </c>
      <c r="H18" s="5">
        <f t="shared" si="2"/>
        <v>0.94531250000000022</v>
      </c>
      <c r="I18" s="5"/>
    </row>
    <row r="19" spans="7:9" x14ac:dyDescent="0.25">
      <c r="G19" s="5">
        <v>8</v>
      </c>
      <c r="H19" s="5">
        <f t="shared" si="2"/>
        <v>0.98925781250000022</v>
      </c>
      <c r="I19" s="5"/>
    </row>
    <row r="20" spans="7:9" x14ac:dyDescent="0.25">
      <c r="G20" s="5">
        <v>9</v>
      </c>
      <c r="H20" s="5">
        <f t="shared" si="2"/>
        <v>0.99902343750000022</v>
      </c>
      <c r="I20" s="5"/>
    </row>
    <row r="21" spans="7:9" x14ac:dyDescent="0.25">
      <c r="G21" s="5">
        <v>10</v>
      </c>
      <c r="H21" s="5">
        <f t="shared" si="2"/>
        <v>1.0000000000000002</v>
      </c>
      <c r="I21" s="5"/>
    </row>
    <row r="23" spans="7:9" x14ac:dyDescent="0.25">
      <c r="G23" t="s">
        <v>73</v>
      </c>
    </row>
    <row r="24" spans="7:9" x14ac:dyDescent="0.25">
      <c r="G24" s="4" t="s">
        <v>74</v>
      </c>
    </row>
    <row r="26" spans="7:9" x14ac:dyDescent="0.25">
      <c r="G26" s="15" t="s">
        <v>51</v>
      </c>
    </row>
    <row r="27" spans="7:9" x14ac:dyDescent="0.25">
      <c r="G27" t="s">
        <v>75</v>
      </c>
    </row>
    <row r="28" spans="7:9" x14ac:dyDescent="0.25">
      <c r="G28" t="s">
        <v>76</v>
      </c>
    </row>
    <row r="29" spans="7:9" x14ac:dyDescent="0.25">
      <c r="G29" t="s">
        <v>77</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1563-F5D6-43B7-8465-2770AF4D2757}">
  <sheetPr>
    <tabColor theme="7"/>
  </sheetPr>
  <dimension ref="A1:J20"/>
  <sheetViews>
    <sheetView topLeftCell="B1" workbookViewId="0">
      <selection activeCell="F16" sqref="F16"/>
    </sheetView>
  </sheetViews>
  <sheetFormatPr baseColWidth="10" defaultRowHeight="15" x14ac:dyDescent="0.25"/>
  <cols>
    <col min="8" max="8" width="13.5703125" customWidth="1"/>
    <col min="10" max="10" width="11.7109375" customWidth="1"/>
  </cols>
  <sheetData>
    <row r="1" spans="1:10" x14ac:dyDescent="0.25">
      <c r="A1" s="25" t="s">
        <v>102</v>
      </c>
      <c r="B1" s="25"/>
      <c r="C1" s="25"/>
      <c r="D1" s="25"/>
    </row>
    <row r="2" spans="1:10" x14ac:dyDescent="0.25">
      <c r="H2" s="15" t="s">
        <v>104</v>
      </c>
    </row>
    <row r="3" spans="1:10" x14ac:dyDescent="0.25">
      <c r="A3" s="24" t="s">
        <v>11</v>
      </c>
      <c r="B3" s="24" t="s">
        <v>12</v>
      </c>
      <c r="C3" s="24" t="s">
        <v>13</v>
      </c>
      <c r="D3" s="24" t="s">
        <v>65</v>
      </c>
      <c r="E3" s="24" t="s">
        <v>138</v>
      </c>
      <c r="F3" s="24" t="s">
        <v>103</v>
      </c>
      <c r="H3" t="s">
        <v>145</v>
      </c>
    </row>
    <row r="4" spans="1:10" x14ac:dyDescent="0.25">
      <c r="A4" s="5">
        <v>1</v>
      </c>
      <c r="B4" s="5">
        <v>172</v>
      </c>
      <c r="C4" s="5">
        <v>201</v>
      </c>
      <c r="D4" s="5">
        <f>B4-C4</f>
        <v>-29</v>
      </c>
      <c r="E4" s="5">
        <f t="shared" ref="E4:E13" si="0">ABS(D4)</f>
        <v>29</v>
      </c>
      <c r="F4" s="5">
        <v>9</v>
      </c>
      <c r="H4" t="s">
        <v>144</v>
      </c>
    </row>
    <row r="5" spans="1:10" x14ac:dyDescent="0.25">
      <c r="A5" s="5">
        <v>6</v>
      </c>
      <c r="B5" s="5">
        <v>142</v>
      </c>
      <c r="C5" s="5">
        <v>170</v>
      </c>
      <c r="D5" s="5">
        <f t="shared" ref="D5:D13" si="1">B5-C5</f>
        <v>-28</v>
      </c>
      <c r="E5" s="5">
        <f t="shared" si="0"/>
        <v>28</v>
      </c>
      <c r="F5" s="5">
        <v>8</v>
      </c>
      <c r="H5" s="18" t="s">
        <v>105</v>
      </c>
      <c r="I5" s="18"/>
      <c r="J5" s="18"/>
    </row>
    <row r="6" spans="1:10" x14ac:dyDescent="0.25">
      <c r="A6" s="5">
        <v>2</v>
      </c>
      <c r="B6" s="5">
        <v>165</v>
      </c>
      <c r="C6" s="5">
        <v>179</v>
      </c>
      <c r="D6" s="5">
        <f t="shared" si="1"/>
        <v>-14</v>
      </c>
      <c r="E6" s="5">
        <f t="shared" si="0"/>
        <v>14</v>
      </c>
      <c r="F6" s="5">
        <v>7</v>
      </c>
    </row>
    <row r="7" spans="1:10" x14ac:dyDescent="0.25">
      <c r="A7" s="5">
        <v>8</v>
      </c>
      <c r="B7" s="5">
        <v>169</v>
      </c>
      <c r="C7" s="5">
        <v>179</v>
      </c>
      <c r="D7" s="5">
        <f t="shared" si="1"/>
        <v>-10</v>
      </c>
      <c r="E7" s="5">
        <f t="shared" si="0"/>
        <v>10</v>
      </c>
      <c r="F7" s="5">
        <v>5.5</v>
      </c>
      <c r="H7" s="15" t="s">
        <v>37</v>
      </c>
    </row>
    <row r="8" spans="1:10" x14ac:dyDescent="0.25">
      <c r="A8" s="5">
        <v>10</v>
      </c>
      <c r="B8" s="5">
        <v>200</v>
      </c>
      <c r="C8" s="5">
        <v>210</v>
      </c>
      <c r="D8" s="5">
        <f t="shared" si="1"/>
        <v>-10</v>
      </c>
      <c r="E8" s="5">
        <f t="shared" si="0"/>
        <v>10</v>
      </c>
      <c r="F8" s="5">
        <v>5.5</v>
      </c>
      <c r="H8" t="s">
        <v>108</v>
      </c>
      <c r="I8">
        <f>SUM(F4:F11)</f>
        <v>42</v>
      </c>
    </row>
    <row r="9" spans="1:10" x14ac:dyDescent="0.25">
      <c r="A9" s="5">
        <v>4</v>
      </c>
      <c r="B9" s="5">
        <v>184</v>
      </c>
      <c r="C9" s="5">
        <v>192</v>
      </c>
      <c r="D9" s="5">
        <f t="shared" si="1"/>
        <v>-8</v>
      </c>
      <c r="E9" s="5">
        <f t="shared" si="0"/>
        <v>8</v>
      </c>
      <c r="F9" s="5">
        <v>3</v>
      </c>
      <c r="H9" s="17" t="s">
        <v>109</v>
      </c>
      <c r="I9" s="17">
        <f>SUM(F12:F13)</f>
        <v>13</v>
      </c>
    </row>
    <row r="10" spans="1:10" x14ac:dyDescent="0.25">
      <c r="A10" s="5">
        <v>9</v>
      </c>
      <c r="B10" s="5">
        <v>161</v>
      </c>
      <c r="C10" s="5">
        <v>169</v>
      </c>
      <c r="D10" s="5">
        <f t="shared" si="1"/>
        <v>-8</v>
      </c>
      <c r="E10" s="5">
        <f t="shared" si="0"/>
        <v>8</v>
      </c>
      <c r="F10" s="5">
        <v>3</v>
      </c>
    </row>
    <row r="11" spans="1:10" x14ac:dyDescent="0.25">
      <c r="A11" s="5">
        <v>5</v>
      </c>
      <c r="B11" s="5">
        <v>174</v>
      </c>
      <c r="C11" s="5">
        <v>177</v>
      </c>
      <c r="D11" s="5">
        <f t="shared" si="1"/>
        <v>-3</v>
      </c>
      <c r="E11" s="5">
        <f t="shared" si="0"/>
        <v>3</v>
      </c>
      <c r="F11" s="5">
        <v>1</v>
      </c>
      <c r="H11" s="15" t="s">
        <v>68</v>
      </c>
      <c r="I11" s="15"/>
    </row>
    <row r="12" spans="1:10" x14ac:dyDescent="0.25">
      <c r="A12" s="5">
        <v>7</v>
      </c>
      <c r="B12" s="5">
        <v>190</v>
      </c>
      <c r="C12" s="5">
        <v>182</v>
      </c>
      <c r="D12" s="5">
        <f t="shared" si="1"/>
        <v>8</v>
      </c>
      <c r="E12" s="5">
        <f t="shared" si="0"/>
        <v>8</v>
      </c>
      <c r="F12" s="5">
        <v>3</v>
      </c>
      <c r="H12" t="s">
        <v>140</v>
      </c>
      <c r="I12">
        <v>0.05</v>
      </c>
      <c r="J12" t="s">
        <v>148</v>
      </c>
    </row>
    <row r="13" spans="1:10" x14ac:dyDescent="0.25">
      <c r="A13" s="5">
        <v>3</v>
      </c>
      <c r="B13" s="5">
        <v>206</v>
      </c>
      <c r="C13" s="5">
        <v>159</v>
      </c>
      <c r="D13" s="5">
        <f t="shared" si="1"/>
        <v>47</v>
      </c>
      <c r="E13" s="5">
        <f t="shared" si="0"/>
        <v>47</v>
      </c>
      <c r="F13" s="5">
        <v>10</v>
      </c>
      <c r="H13" s="17" t="s">
        <v>146</v>
      </c>
      <c r="I13" s="17">
        <v>11</v>
      </c>
    </row>
    <row r="14" spans="1:10" x14ac:dyDescent="0.25">
      <c r="H14" t="s">
        <v>147</v>
      </c>
    </row>
    <row r="15" spans="1:10" x14ac:dyDescent="0.25">
      <c r="H15" s="17" t="s">
        <v>74</v>
      </c>
    </row>
    <row r="17" spans="8:10" x14ac:dyDescent="0.25">
      <c r="H17" s="15" t="s">
        <v>106</v>
      </c>
    </row>
    <row r="18" spans="8:10" x14ac:dyDescent="0.25">
      <c r="H18" s="17" t="s">
        <v>149</v>
      </c>
      <c r="I18" s="17"/>
      <c r="J18" s="17"/>
    </row>
    <row r="19" spans="8:10" x14ac:dyDescent="0.25">
      <c r="H19" s="17" t="s">
        <v>150</v>
      </c>
      <c r="I19" s="17"/>
      <c r="J19" s="17"/>
    </row>
    <row r="20" spans="8:10" x14ac:dyDescent="0.25">
      <c r="H20" s="17" t="s">
        <v>151</v>
      </c>
      <c r="I20" s="17"/>
      <c r="J20" s="17"/>
    </row>
  </sheetData>
  <sortState xmlns:xlrd2="http://schemas.microsoft.com/office/spreadsheetml/2017/richdata2" ref="A4:F13">
    <sortCondition ref="D4:D13"/>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CD0F-0AFA-4CDA-B067-489A17AD7545}">
  <sheetPr>
    <tabColor theme="8"/>
  </sheetPr>
  <dimension ref="A1:A41"/>
  <sheetViews>
    <sheetView workbookViewId="0">
      <selection activeCell="G17" sqref="G17"/>
    </sheetView>
  </sheetViews>
  <sheetFormatPr baseColWidth="10" defaultRowHeight="15" x14ac:dyDescent="0.25"/>
  <sheetData>
    <row r="1" spans="1:1" x14ac:dyDescent="0.25">
      <c r="A1" t="s">
        <v>14</v>
      </c>
    </row>
    <row r="2" spans="1:1" x14ac:dyDescent="0.25">
      <c r="A2">
        <v>24.1</v>
      </c>
    </row>
    <row r="3" spans="1:1" x14ac:dyDescent="0.25">
      <c r="A3">
        <v>25</v>
      </c>
    </row>
    <row r="4" spans="1:1" x14ac:dyDescent="0.25">
      <c r="A4">
        <v>24.8</v>
      </c>
    </row>
    <row r="5" spans="1:1" x14ac:dyDescent="0.25">
      <c r="A5">
        <v>24.3</v>
      </c>
    </row>
    <row r="6" spans="1:1" x14ac:dyDescent="0.25">
      <c r="A6">
        <v>24.2</v>
      </c>
    </row>
    <row r="7" spans="1:1" x14ac:dyDescent="0.25">
      <c r="A7">
        <v>25.3</v>
      </c>
    </row>
    <row r="8" spans="1:1" x14ac:dyDescent="0.25">
      <c r="A8">
        <v>24.2</v>
      </c>
    </row>
    <row r="9" spans="1:1" x14ac:dyDescent="0.25">
      <c r="A9">
        <v>23.6</v>
      </c>
    </row>
    <row r="10" spans="1:1" x14ac:dyDescent="0.25">
      <c r="A10">
        <v>24.5</v>
      </c>
    </row>
    <row r="11" spans="1:1" x14ac:dyDescent="0.25">
      <c r="A11">
        <v>24.4</v>
      </c>
    </row>
    <row r="12" spans="1:1" x14ac:dyDescent="0.25">
      <c r="A12">
        <v>24.5</v>
      </c>
    </row>
    <row r="13" spans="1:1" x14ac:dyDescent="0.25">
      <c r="A13">
        <v>24.3</v>
      </c>
    </row>
    <row r="14" spans="1:1" x14ac:dyDescent="0.25">
      <c r="A14">
        <v>24</v>
      </c>
    </row>
    <row r="15" spans="1:1" x14ac:dyDescent="0.25">
      <c r="A15">
        <v>23.8</v>
      </c>
    </row>
    <row r="16" spans="1:1" x14ac:dyDescent="0.25">
      <c r="A16">
        <v>23.8</v>
      </c>
    </row>
    <row r="17" spans="1:1" x14ac:dyDescent="0.25">
      <c r="A17">
        <v>25.3</v>
      </c>
    </row>
    <row r="18" spans="1:1" x14ac:dyDescent="0.25">
      <c r="A18">
        <v>24.5</v>
      </c>
    </row>
    <row r="19" spans="1:1" x14ac:dyDescent="0.25">
      <c r="A19">
        <v>24.6</v>
      </c>
    </row>
    <row r="20" spans="1:1" x14ac:dyDescent="0.25">
      <c r="A20">
        <v>24</v>
      </c>
    </row>
    <row r="21" spans="1:1" x14ac:dyDescent="0.25">
      <c r="A21">
        <v>25.2</v>
      </c>
    </row>
    <row r="22" spans="1:1" x14ac:dyDescent="0.25">
      <c r="A22">
        <v>25.2</v>
      </c>
    </row>
    <row r="23" spans="1:1" x14ac:dyDescent="0.25">
      <c r="A23">
        <v>24.4</v>
      </c>
    </row>
    <row r="24" spans="1:1" x14ac:dyDescent="0.25">
      <c r="A24">
        <v>24.7</v>
      </c>
    </row>
    <row r="25" spans="1:1" x14ac:dyDescent="0.25">
      <c r="A25">
        <v>24.1</v>
      </c>
    </row>
    <row r="26" spans="1:1" x14ac:dyDescent="0.25">
      <c r="A26">
        <v>24.6</v>
      </c>
    </row>
    <row r="27" spans="1:1" x14ac:dyDescent="0.25">
      <c r="A27">
        <v>24.9</v>
      </c>
    </row>
    <row r="28" spans="1:1" x14ac:dyDescent="0.25">
      <c r="A28">
        <v>24.1</v>
      </c>
    </row>
    <row r="29" spans="1:1" x14ac:dyDescent="0.25">
      <c r="A29">
        <v>25.8</v>
      </c>
    </row>
    <row r="30" spans="1:1" x14ac:dyDescent="0.25">
      <c r="A30">
        <v>24.2</v>
      </c>
    </row>
    <row r="31" spans="1:1" x14ac:dyDescent="0.25">
      <c r="A31">
        <v>24.8</v>
      </c>
    </row>
    <row r="32" spans="1:1" x14ac:dyDescent="0.25">
      <c r="A32">
        <v>24.1</v>
      </c>
    </row>
    <row r="33" spans="1:1" x14ac:dyDescent="0.25">
      <c r="A33">
        <v>25.6</v>
      </c>
    </row>
    <row r="34" spans="1:1" x14ac:dyDescent="0.25">
      <c r="A34">
        <v>24.5</v>
      </c>
    </row>
    <row r="35" spans="1:1" x14ac:dyDescent="0.25">
      <c r="A35">
        <v>25.1</v>
      </c>
    </row>
    <row r="36" spans="1:1" x14ac:dyDescent="0.25">
      <c r="A36">
        <v>24.6</v>
      </c>
    </row>
    <row r="37" spans="1:1" x14ac:dyDescent="0.25">
      <c r="A37">
        <v>24.3</v>
      </c>
    </row>
    <row r="38" spans="1:1" x14ac:dyDescent="0.25">
      <c r="A38">
        <v>25.2</v>
      </c>
    </row>
    <row r="39" spans="1:1" x14ac:dyDescent="0.25">
      <c r="A39">
        <v>24.7</v>
      </c>
    </row>
    <row r="40" spans="1:1" x14ac:dyDescent="0.25">
      <c r="A40">
        <v>23.3</v>
      </c>
    </row>
    <row r="41" spans="1:1" x14ac:dyDescent="0.25">
      <c r="A41">
        <v>25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ECA67-E09D-4AD4-B224-E308D16C8E1B}">
  <sheetPr>
    <tabColor theme="8"/>
  </sheetPr>
  <dimension ref="A1:F41"/>
  <sheetViews>
    <sheetView topLeftCell="A7" workbookViewId="0">
      <selection activeCell="B3" sqref="B3"/>
    </sheetView>
  </sheetViews>
  <sheetFormatPr baseColWidth="10" defaultRowHeight="15" x14ac:dyDescent="0.25"/>
  <cols>
    <col min="4" max="4" width="13.28515625" customWidth="1"/>
    <col min="6" max="6" width="14" customWidth="1"/>
  </cols>
  <sheetData>
    <row r="1" spans="1:5" x14ac:dyDescent="0.25">
      <c r="A1" t="s">
        <v>14</v>
      </c>
    </row>
    <row r="2" spans="1:5" x14ac:dyDescent="0.25">
      <c r="A2">
        <v>24.1</v>
      </c>
      <c r="B2">
        <f>IF((A2-24.2)&lt;0,0,1)</f>
        <v>0</v>
      </c>
      <c r="D2" s="15" t="s">
        <v>78</v>
      </c>
    </row>
    <row r="3" spans="1:5" x14ac:dyDescent="0.25">
      <c r="A3">
        <v>25</v>
      </c>
      <c r="B3">
        <f t="shared" ref="B3:B41" si="0">IF((A3-24.2)&lt;0,0,1)</f>
        <v>1</v>
      </c>
      <c r="D3" t="s">
        <v>79</v>
      </c>
    </row>
    <row r="4" spans="1:5" x14ac:dyDescent="0.25">
      <c r="A4">
        <v>24.8</v>
      </c>
      <c r="B4">
        <f t="shared" si="0"/>
        <v>1</v>
      </c>
      <c r="D4" t="s">
        <v>80</v>
      </c>
    </row>
    <row r="5" spans="1:5" x14ac:dyDescent="0.25">
      <c r="A5">
        <v>24.3</v>
      </c>
      <c r="B5">
        <f t="shared" si="0"/>
        <v>1</v>
      </c>
    </row>
    <row r="6" spans="1:5" x14ac:dyDescent="0.25">
      <c r="A6" s="4">
        <v>24.2</v>
      </c>
      <c r="B6" s="4">
        <f t="shared" si="0"/>
        <v>1</v>
      </c>
      <c r="D6" s="15" t="s">
        <v>37</v>
      </c>
    </row>
    <row r="7" spans="1:5" x14ac:dyDescent="0.25">
      <c r="A7">
        <v>25.3</v>
      </c>
      <c r="B7">
        <f t="shared" si="0"/>
        <v>1</v>
      </c>
      <c r="D7" t="s">
        <v>81</v>
      </c>
      <c r="E7">
        <f>SUM(B2:B41)-3</f>
        <v>27</v>
      </c>
    </row>
    <row r="8" spans="1:5" x14ac:dyDescent="0.25">
      <c r="A8" s="4">
        <v>24.2</v>
      </c>
      <c r="B8" s="4">
        <f t="shared" si="0"/>
        <v>1</v>
      </c>
      <c r="D8" t="s">
        <v>82</v>
      </c>
      <c r="E8">
        <v>37</v>
      </c>
    </row>
    <row r="9" spans="1:5" x14ac:dyDescent="0.25">
      <c r="A9">
        <v>23.6</v>
      </c>
      <c r="B9">
        <f t="shared" si="0"/>
        <v>0</v>
      </c>
      <c r="D9" t="s">
        <v>83</v>
      </c>
      <c r="E9">
        <v>0.5</v>
      </c>
    </row>
    <row r="10" spans="1:5" x14ac:dyDescent="0.25">
      <c r="A10">
        <v>24.5</v>
      </c>
      <c r="B10">
        <f t="shared" si="0"/>
        <v>1</v>
      </c>
      <c r="D10" s="4" t="s">
        <v>84</v>
      </c>
      <c r="E10" s="4">
        <f>(E7-E8*E9)/SQRT(E8*E9*(1-E9))</f>
        <v>2.794782784191074</v>
      </c>
    </row>
    <row r="11" spans="1:5" x14ac:dyDescent="0.25">
      <c r="A11">
        <v>24.4</v>
      </c>
      <c r="B11">
        <f t="shared" si="0"/>
        <v>1</v>
      </c>
    </row>
    <row r="12" spans="1:5" x14ac:dyDescent="0.25">
      <c r="A12">
        <v>24.5</v>
      </c>
      <c r="B12">
        <f t="shared" si="0"/>
        <v>1</v>
      </c>
      <c r="D12" s="15" t="s">
        <v>39</v>
      </c>
      <c r="E12" s="15"/>
    </row>
    <row r="13" spans="1:5" x14ac:dyDescent="0.25">
      <c r="A13">
        <v>24.3</v>
      </c>
      <c r="B13">
        <f t="shared" si="0"/>
        <v>1</v>
      </c>
      <c r="D13" t="s">
        <v>85</v>
      </c>
      <c r="E13">
        <f>_xlfn.NORM.S.INV(0.05)</f>
        <v>-1.6448536269514726</v>
      </c>
    </row>
    <row r="14" spans="1:5" x14ac:dyDescent="0.25">
      <c r="A14">
        <v>24</v>
      </c>
      <c r="B14">
        <f t="shared" si="0"/>
        <v>0</v>
      </c>
      <c r="D14" t="s">
        <v>86</v>
      </c>
    </row>
    <row r="15" spans="1:5" x14ac:dyDescent="0.25">
      <c r="A15">
        <v>23.8</v>
      </c>
      <c r="B15">
        <f t="shared" si="0"/>
        <v>0</v>
      </c>
      <c r="D15" s="4" t="s">
        <v>74</v>
      </c>
    </row>
    <row r="16" spans="1:5" x14ac:dyDescent="0.25">
      <c r="A16">
        <v>23.8</v>
      </c>
      <c r="B16">
        <f t="shared" si="0"/>
        <v>0</v>
      </c>
    </row>
    <row r="17" spans="1:6" x14ac:dyDescent="0.25">
      <c r="A17">
        <v>25.3</v>
      </c>
      <c r="B17">
        <f t="shared" si="0"/>
        <v>1</v>
      </c>
      <c r="D17" s="15" t="s">
        <v>51</v>
      </c>
    </row>
    <row r="18" spans="1:6" x14ac:dyDescent="0.25">
      <c r="A18">
        <v>24.5</v>
      </c>
      <c r="B18">
        <f t="shared" si="0"/>
        <v>1</v>
      </c>
      <c r="D18" s="17" t="s">
        <v>87</v>
      </c>
      <c r="E18" s="17"/>
      <c r="F18" s="17"/>
    </row>
    <row r="19" spans="1:6" x14ac:dyDescent="0.25">
      <c r="A19">
        <v>24.6</v>
      </c>
      <c r="B19">
        <f t="shared" si="0"/>
        <v>1</v>
      </c>
      <c r="D19" s="17" t="s">
        <v>88</v>
      </c>
      <c r="E19" s="17"/>
      <c r="F19" s="17"/>
    </row>
    <row r="20" spans="1:6" x14ac:dyDescent="0.25">
      <c r="A20">
        <v>24</v>
      </c>
      <c r="B20">
        <f t="shared" si="0"/>
        <v>0</v>
      </c>
      <c r="D20" s="17" t="s">
        <v>89</v>
      </c>
      <c r="E20" s="17"/>
      <c r="F20" s="17"/>
    </row>
    <row r="21" spans="1:6" x14ac:dyDescent="0.25">
      <c r="A21">
        <v>25.2</v>
      </c>
      <c r="B21">
        <f t="shared" si="0"/>
        <v>1</v>
      </c>
    </row>
    <row r="22" spans="1:6" x14ac:dyDescent="0.25">
      <c r="A22">
        <v>25.2</v>
      </c>
      <c r="B22">
        <f t="shared" si="0"/>
        <v>1</v>
      </c>
    </row>
    <row r="23" spans="1:6" x14ac:dyDescent="0.25">
      <c r="A23">
        <v>24.4</v>
      </c>
      <c r="B23">
        <f t="shared" si="0"/>
        <v>1</v>
      </c>
    </row>
    <row r="24" spans="1:6" x14ac:dyDescent="0.25">
      <c r="A24">
        <v>24.7</v>
      </c>
      <c r="B24">
        <f t="shared" si="0"/>
        <v>1</v>
      </c>
    </row>
    <row r="25" spans="1:6" x14ac:dyDescent="0.25">
      <c r="A25">
        <v>24.1</v>
      </c>
      <c r="B25">
        <f t="shared" si="0"/>
        <v>0</v>
      </c>
    </row>
    <row r="26" spans="1:6" x14ac:dyDescent="0.25">
      <c r="A26">
        <v>24.6</v>
      </c>
      <c r="B26">
        <f t="shared" si="0"/>
        <v>1</v>
      </c>
    </row>
    <row r="27" spans="1:6" x14ac:dyDescent="0.25">
      <c r="A27">
        <v>24.9</v>
      </c>
      <c r="B27">
        <f t="shared" si="0"/>
        <v>1</v>
      </c>
    </row>
    <row r="28" spans="1:6" x14ac:dyDescent="0.25">
      <c r="A28">
        <v>24.1</v>
      </c>
      <c r="B28">
        <f t="shared" si="0"/>
        <v>0</v>
      </c>
    </row>
    <row r="29" spans="1:6" x14ac:dyDescent="0.25">
      <c r="A29">
        <v>25.8</v>
      </c>
      <c r="B29">
        <f t="shared" si="0"/>
        <v>1</v>
      </c>
    </row>
    <row r="30" spans="1:6" x14ac:dyDescent="0.25">
      <c r="A30" s="4">
        <v>24.2</v>
      </c>
      <c r="B30" s="4">
        <f t="shared" si="0"/>
        <v>1</v>
      </c>
    </row>
    <row r="31" spans="1:6" x14ac:dyDescent="0.25">
      <c r="A31">
        <v>24.8</v>
      </c>
      <c r="B31">
        <f t="shared" si="0"/>
        <v>1</v>
      </c>
    </row>
    <row r="32" spans="1:6" x14ac:dyDescent="0.25">
      <c r="A32">
        <v>24.1</v>
      </c>
      <c r="B32">
        <f t="shared" si="0"/>
        <v>0</v>
      </c>
    </row>
    <row r="33" spans="1:2" x14ac:dyDescent="0.25">
      <c r="A33">
        <v>25.6</v>
      </c>
      <c r="B33">
        <f t="shared" si="0"/>
        <v>1</v>
      </c>
    </row>
    <row r="34" spans="1:2" x14ac:dyDescent="0.25">
      <c r="A34">
        <v>24.5</v>
      </c>
      <c r="B34">
        <f t="shared" si="0"/>
        <v>1</v>
      </c>
    </row>
    <row r="35" spans="1:2" x14ac:dyDescent="0.25">
      <c r="A35">
        <v>25.1</v>
      </c>
      <c r="B35">
        <f t="shared" si="0"/>
        <v>1</v>
      </c>
    </row>
    <row r="36" spans="1:2" x14ac:dyDescent="0.25">
      <c r="A36">
        <v>24.6</v>
      </c>
      <c r="B36">
        <f t="shared" si="0"/>
        <v>1</v>
      </c>
    </row>
    <row r="37" spans="1:2" x14ac:dyDescent="0.25">
      <c r="A37">
        <v>24.3</v>
      </c>
      <c r="B37">
        <f t="shared" si="0"/>
        <v>1</v>
      </c>
    </row>
    <row r="38" spans="1:2" x14ac:dyDescent="0.25">
      <c r="A38">
        <v>25.2</v>
      </c>
      <c r="B38">
        <f t="shared" si="0"/>
        <v>1</v>
      </c>
    </row>
    <row r="39" spans="1:2" x14ac:dyDescent="0.25">
      <c r="A39">
        <v>24.7</v>
      </c>
      <c r="B39">
        <f t="shared" si="0"/>
        <v>1</v>
      </c>
    </row>
    <row r="40" spans="1:2" x14ac:dyDescent="0.25">
      <c r="A40">
        <v>23.3</v>
      </c>
      <c r="B40">
        <f t="shared" si="0"/>
        <v>0</v>
      </c>
    </row>
    <row r="41" spans="1:2" x14ac:dyDescent="0.25">
      <c r="A41">
        <v>25</v>
      </c>
      <c r="B41">
        <f t="shared" si="0"/>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46D31-D2F1-4931-8FBF-6130A28084F2}">
  <sheetPr>
    <tabColor theme="8"/>
  </sheetPr>
  <dimension ref="A1:H42"/>
  <sheetViews>
    <sheetView topLeftCell="A4" workbookViewId="0">
      <selection activeCell="H26" sqref="H26"/>
    </sheetView>
  </sheetViews>
  <sheetFormatPr baseColWidth="10" defaultRowHeight="15" x14ac:dyDescent="0.25"/>
  <cols>
    <col min="1" max="1" width="14.85546875" customWidth="1"/>
  </cols>
  <sheetData>
    <row r="1" spans="1:7" x14ac:dyDescent="0.25">
      <c r="A1" s="25" t="s">
        <v>153</v>
      </c>
      <c r="B1" s="25"/>
      <c r="C1" s="25"/>
    </row>
    <row r="2" spans="1:7" ht="20.25" customHeight="1" x14ac:dyDescent="0.25">
      <c r="A2" s="19" t="s">
        <v>14</v>
      </c>
      <c r="B2" s="19" t="s">
        <v>65</v>
      </c>
      <c r="C2" s="19" t="s">
        <v>138</v>
      </c>
      <c r="D2" s="19" t="s">
        <v>103</v>
      </c>
    </row>
    <row r="3" spans="1:7" x14ac:dyDescent="0.25">
      <c r="A3" s="5">
        <v>23.3</v>
      </c>
      <c r="B3" s="5">
        <f t="shared" ref="B3:B42" si="0">A3-$G$3</f>
        <v>-0.89999999999999858</v>
      </c>
      <c r="C3" s="5">
        <f t="shared" ref="C3:C42" si="1">ABS(B3)</f>
        <v>0.89999999999999858</v>
      </c>
      <c r="D3" s="5">
        <v>29.5</v>
      </c>
      <c r="F3" t="s">
        <v>107</v>
      </c>
      <c r="G3">
        <v>24.2</v>
      </c>
    </row>
    <row r="4" spans="1:7" x14ac:dyDescent="0.25">
      <c r="A4" s="5">
        <v>23.6</v>
      </c>
      <c r="B4" s="5">
        <f t="shared" si="0"/>
        <v>-0.59999999999999787</v>
      </c>
      <c r="C4" s="5">
        <f t="shared" si="1"/>
        <v>0.59999999999999787</v>
      </c>
      <c r="D4" s="5">
        <v>24</v>
      </c>
      <c r="F4" t="s">
        <v>82</v>
      </c>
      <c r="G4">
        <v>37</v>
      </c>
    </row>
    <row r="5" spans="1:7" x14ac:dyDescent="0.25">
      <c r="A5" s="5">
        <v>23.8</v>
      </c>
      <c r="B5" s="5">
        <f t="shared" si="0"/>
        <v>-0.39999999999999858</v>
      </c>
      <c r="C5" s="5">
        <f t="shared" si="1"/>
        <v>0.39999999999999858</v>
      </c>
      <c r="D5" s="5">
        <v>18</v>
      </c>
    </row>
    <row r="6" spans="1:7" x14ac:dyDescent="0.25">
      <c r="A6" s="5">
        <v>23.8</v>
      </c>
      <c r="B6" s="5">
        <f t="shared" si="0"/>
        <v>-0.39999999999999858</v>
      </c>
      <c r="C6" s="5">
        <f t="shared" si="1"/>
        <v>0.39999999999999858</v>
      </c>
      <c r="D6" s="5">
        <v>18</v>
      </c>
      <c r="F6" s="15" t="s">
        <v>104</v>
      </c>
    </row>
    <row r="7" spans="1:7" x14ac:dyDescent="0.25">
      <c r="A7" s="5">
        <v>24</v>
      </c>
      <c r="B7" s="5">
        <f t="shared" si="0"/>
        <v>-0.19999999999999929</v>
      </c>
      <c r="C7" s="5">
        <f t="shared" si="1"/>
        <v>0.19999999999999929</v>
      </c>
      <c r="D7" s="5">
        <v>9.5</v>
      </c>
      <c r="F7" t="s">
        <v>154</v>
      </c>
    </row>
    <row r="8" spans="1:7" x14ac:dyDescent="0.25">
      <c r="A8" s="5">
        <v>24</v>
      </c>
      <c r="B8" s="5">
        <f t="shared" si="0"/>
        <v>-0.19999999999999929</v>
      </c>
      <c r="C8" s="5">
        <f t="shared" si="1"/>
        <v>0.19999999999999929</v>
      </c>
      <c r="D8" s="5">
        <v>9.5</v>
      </c>
      <c r="F8" t="s">
        <v>155</v>
      </c>
    </row>
    <row r="9" spans="1:7" x14ac:dyDescent="0.25">
      <c r="A9" s="5">
        <v>24.1</v>
      </c>
      <c r="B9" s="5">
        <f t="shared" si="0"/>
        <v>-9.9999999999997868E-2</v>
      </c>
      <c r="C9" s="5">
        <f t="shared" si="1"/>
        <v>9.9999999999997868E-2</v>
      </c>
      <c r="D9" s="5">
        <v>4</v>
      </c>
    </row>
    <row r="10" spans="1:7" x14ac:dyDescent="0.25">
      <c r="A10" s="5">
        <v>24.1</v>
      </c>
      <c r="B10" s="5">
        <f t="shared" si="0"/>
        <v>-9.9999999999997868E-2</v>
      </c>
      <c r="C10" s="5">
        <f t="shared" si="1"/>
        <v>9.9999999999997868E-2</v>
      </c>
      <c r="D10" s="5">
        <v>4</v>
      </c>
      <c r="F10" s="5" t="s">
        <v>108</v>
      </c>
      <c r="G10" s="5">
        <f>SUM(D3:D12)</f>
        <v>124.5</v>
      </c>
    </row>
    <row r="11" spans="1:7" x14ac:dyDescent="0.25">
      <c r="A11" s="5">
        <v>24.1</v>
      </c>
      <c r="B11" s="5">
        <f t="shared" si="0"/>
        <v>-9.9999999999997868E-2</v>
      </c>
      <c r="C11" s="5">
        <f t="shared" si="1"/>
        <v>9.9999999999997868E-2</v>
      </c>
      <c r="D11" s="5">
        <v>4</v>
      </c>
      <c r="F11" s="5" t="s">
        <v>109</v>
      </c>
      <c r="G11" s="5">
        <f>SUM(D16:D42)</f>
        <v>578.5</v>
      </c>
    </row>
    <row r="12" spans="1:7" x14ac:dyDescent="0.25">
      <c r="A12" s="5">
        <v>24.1</v>
      </c>
      <c r="B12" s="5">
        <f t="shared" si="0"/>
        <v>-9.9999999999997868E-2</v>
      </c>
      <c r="C12" s="5">
        <f t="shared" si="1"/>
        <v>9.9999999999997868E-2</v>
      </c>
      <c r="D12" s="5">
        <v>4</v>
      </c>
      <c r="F12" s="5" t="s">
        <v>110</v>
      </c>
      <c r="G12" s="5">
        <f>G10</f>
        <v>124.5</v>
      </c>
    </row>
    <row r="13" spans="1:7" x14ac:dyDescent="0.25">
      <c r="A13" s="8">
        <v>24.2</v>
      </c>
      <c r="B13" s="8">
        <f t="shared" si="0"/>
        <v>0</v>
      </c>
      <c r="C13" s="8">
        <f t="shared" si="1"/>
        <v>0</v>
      </c>
      <c r="D13" s="5"/>
      <c r="F13" s="5" t="s">
        <v>111</v>
      </c>
      <c r="G13" s="5">
        <f>G4*(G4+1)/4</f>
        <v>351.5</v>
      </c>
    </row>
    <row r="14" spans="1:7" x14ac:dyDescent="0.25">
      <c r="A14" s="8">
        <v>24.2</v>
      </c>
      <c r="B14" s="8">
        <f t="shared" si="0"/>
        <v>0</v>
      </c>
      <c r="C14" s="8">
        <f t="shared" si="1"/>
        <v>0</v>
      </c>
      <c r="D14" s="5"/>
      <c r="F14" s="5" t="s">
        <v>112</v>
      </c>
      <c r="G14" s="5">
        <f>G4*(G4+1)*(G4*2+1)/24</f>
        <v>4393.75</v>
      </c>
    </row>
    <row r="15" spans="1:7" x14ac:dyDescent="0.25">
      <c r="A15" s="8">
        <v>24.2</v>
      </c>
      <c r="B15" s="8">
        <f t="shared" si="0"/>
        <v>0</v>
      </c>
      <c r="C15" s="8">
        <f t="shared" si="1"/>
        <v>0</v>
      </c>
      <c r="D15" s="5"/>
    </row>
    <row r="16" spans="1:7" x14ac:dyDescent="0.25">
      <c r="A16" s="5">
        <v>24.3</v>
      </c>
      <c r="B16" s="5">
        <f t="shared" si="0"/>
        <v>0.10000000000000142</v>
      </c>
      <c r="C16" s="5">
        <f t="shared" si="1"/>
        <v>0.10000000000000142</v>
      </c>
      <c r="D16" s="5">
        <v>4</v>
      </c>
      <c r="F16" s="15" t="s">
        <v>37</v>
      </c>
    </row>
    <row r="17" spans="1:8" x14ac:dyDescent="0.25">
      <c r="A17" s="5">
        <v>24.3</v>
      </c>
      <c r="B17" s="5">
        <f t="shared" si="0"/>
        <v>0.10000000000000142</v>
      </c>
      <c r="C17" s="5">
        <f t="shared" si="1"/>
        <v>0.10000000000000142</v>
      </c>
      <c r="D17" s="5">
        <v>4</v>
      </c>
      <c r="F17" t="s">
        <v>113</v>
      </c>
      <c r="G17">
        <f>SQRT(G4*(G4+1)*((2*G4)+1)/24)</f>
        <v>66.285367917814256</v>
      </c>
    </row>
    <row r="18" spans="1:8" x14ac:dyDescent="0.25">
      <c r="A18" s="5">
        <v>24.3</v>
      </c>
      <c r="B18" s="5">
        <f t="shared" si="0"/>
        <v>0.10000000000000142</v>
      </c>
      <c r="C18" s="5">
        <f t="shared" si="1"/>
        <v>0.10000000000000142</v>
      </c>
      <c r="D18" s="5">
        <v>4</v>
      </c>
      <c r="F18" s="17" t="s">
        <v>84</v>
      </c>
      <c r="G18" s="17">
        <f>(G11-(G4*(G4+1)/4))/G17</f>
        <v>3.4245868602774028</v>
      </c>
    </row>
    <row r="19" spans="1:8" x14ac:dyDescent="0.25">
      <c r="A19" s="5">
        <v>24.4</v>
      </c>
      <c r="B19" s="5">
        <f t="shared" si="0"/>
        <v>0.19999999999999929</v>
      </c>
      <c r="C19" s="5">
        <f t="shared" si="1"/>
        <v>0.19999999999999929</v>
      </c>
      <c r="D19" s="5">
        <v>9.5</v>
      </c>
    </row>
    <row r="20" spans="1:8" x14ac:dyDescent="0.25">
      <c r="A20" s="5">
        <v>24.4</v>
      </c>
      <c r="B20" s="5">
        <f t="shared" si="0"/>
        <v>0.19999999999999929</v>
      </c>
      <c r="C20" s="5">
        <f t="shared" si="1"/>
        <v>0.19999999999999929</v>
      </c>
      <c r="D20" s="5">
        <v>9.5</v>
      </c>
      <c r="F20" s="15" t="s">
        <v>39</v>
      </c>
      <c r="G20" s="15"/>
    </row>
    <row r="21" spans="1:8" x14ac:dyDescent="0.25">
      <c r="A21" s="5">
        <v>24.5</v>
      </c>
      <c r="B21" s="5">
        <f t="shared" si="0"/>
        <v>0.30000000000000071</v>
      </c>
      <c r="C21" s="5">
        <f t="shared" si="1"/>
        <v>0.30000000000000071</v>
      </c>
      <c r="D21" s="5">
        <v>13.5</v>
      </c>
      <c r="F21" s="5" t="s">
        <v>140</v>
      </c>
      <c r="G21" s="5">
        <v>0.05</v>
      </c>
    </row>
    <row r="22" spans="1:8" x14ac:dyDescent="0.25">
      <c r="A22" s="5">
        <v>24.5</v>
      </c>
      <c r="B22" s="5">
        <f t="shared" si="0"/>
        <v>0.30000000000000071</v>
      </c>
      <c r="C22" s="5">
        <f t="shared" si="1"/>
        <v>0.30000000000000071</v>
      </c>
      <c r="D22" s="5">
        <v>13.5</v>
      </c>
      <c r="F22" s="5" t="s">
        <v>114</v>
      </c>
      <c r="G22" s="5">
        <f>_xlfn.NORM.S.INV(0.05/2)</f>
        <v>-1.9599639845400538</v>
      </c>
    </row>
    <row r="23" spans="1:8" x14ac:dyDescent="0.25">
      <c r="A23" s="5">
        <v>24.5</v>
      </c>
      <c r="B23" s="5">
        <f t="shared" si="0"/>
        <v>0.30000000000000071</v>
      </c>
      <c r="C23" s="5">
        <f t="shared" si="1"/>
        <v>0.30000000000000071</v>
      </c>
      <c r="D23" s="5">
        <v>13.5</v>
      </c>
      <c r="F23" t="s">
        <v>157</v>
      </c>
    </row>
    <row r="24" spans="1:8" x14ac:dyDescent="0.25">
      <c r="A24" s="5">
        <v>24.5</v>
      </c>
      <c r="B24" s="5">
        <f t="shared" si="0"/>
        <v>0.30000000000000071</v>
      </c>
      <c r="C24" s="5">
        <f t="shared" si="1"/>
        <v>0.30000000000000071</v>
      </c>
      <c r="D24" s="5">
        <v>13.5</v>
      </c>
      <c r="F24" t="s">
        <v>156</v>
      </c>
    </row>
    <row r="25" spans="1:8" x14ac:dyDescent="0.25">
      <c r="A25" s="5">
        <v>24.6</v>
      </c>
      <c r="B25" s="5">
        <f t="shared" si="0"/>
        <v>0.40000000000000213</v>
      </c>
      <c r="C25" s="5">
        <f t="shared" si="1"/>
        <v>0.40000000000000213</v>
      </c>
      <c r="D25" s="5">
        <v>18</v>
      </c>
      <c r="F25" s="17" t="s">
        <v>63</v>
      </c>
    </row>
    <row r="26" spans="1:8" x14ac:dyDescent="0.25">
      <c r="A26" s="5">
        <v>24.6</v>
      </c>
      <c r="B26" s="5">
        <f t="shared" si="0"/>
        <v>0.40000000000000213</v>
      </c>
      <c r="C26" s="5">
        <f t="shared" si="1"/>
        <v>0.40000000000000213</v>
      </c>
      <c r="D26" s="5">
        <v>18</v>
      </c>
    </row>
    <row r="27" spans="1:8" x14ac:dyDescent="0.25">
      <c r="A27" s="5">
        <v>24.6</v>
      </c>
      <c r="B27" s="5">
        <f t="shared" si="0"/>
        <v>0.40000000000000213</v>
      </c>
      <c r="C27" s="5">
        <f t="shared" si="1"/>
        <v>0.40000000000000213</v>
      </c>
      <c r="D27" s="5">
        <v>18</v>
      </c>
      <c r="F27" s="15" t="s">
        <v>51</v>
      </c>
    </row>
    <row r="28" spans="1:8" x14ac:dyDescent="0.25">
      <c r="A28" s="5">
        <v>24.7</v>
      </c>
      <c r="B28" s="5">
        <f t="shared" si="0"/>
        <v>0.5</v>
      </c>
      <c r="C28" s="5">
        <f t="shared" si="1"/>
        <v>0.5</v>
      </c>
      <c r="D28" s="5">
        <v>21.5</v>
      </c>
      <c r="F28" s="17" t="s">
        <v>158</v>
      </c>
      <c r="G28" s="17"/>
      <c r="H28" s="17"/>
    </row>
    <row r="29" spans="1:8" x14ac:dyDescent="0.25">
      <c r="A29" s="5">
        <v>24.7</v>
      </c>
      <c r="B29" s="5">
        <f t="shared" si="0"/>
        <v>0.5</v>
      </c>
      <c r="C29" s="5">
        <f t="shared" si="1"/>
        <v>0.5</v>
      </c>
      <c r="D29" s="5">
        <v>21.5</v>
      </c>
      <c r="F29" s="17" t="s">
        <v>159</v>
      </c>
      <c r="G29" s="17"/>
      <c r="H29" s="17"/>
    </row>
    <row r="30" spans="1:8" x14ac:dyDescent="0.25">
      <c r="A30" s="5">
        <v>24.8</v>
      </c>
      <c r="B30" s="5">
        <f t="shared" si="0"/>
        <v>0.60000000000000142</v>
      </c>
      <c r="C30" s="5">
        <f t="shared" si="1"/>
        <v>0.60000000000000142</v>
      </c>
      <c r="D30" s="5">
        <v>24</v>
      </c>
    </row>
    <row r="31" spans="1:8" x14ac:dyDescent="0.25">
      <c r="A31" s="5">
        <v>24.8</v>
      </c>
      <c r="B31" s="5">
        <f t="shared" si="0"/>
        <v>0.60000000000000142</v>
      </c>
      <c r="C31" s="5">
        <f t="shared" si="1"/>
        <v>0.60000000000000142</v>
      </c>
      <c r="D31" s="5">
        <v>24</v>
      </c>
    </row>
    <row r="32" spans="1:8" x14ac:dyDescent="0.25">
      <c r="A32" s="5">
        <v>24.9</v>
      </c>
      <c r="B32" s="5">
        <f t="shared" si="0"/>
        <v>0.69999999999999929</v>
      </c>
      <c r="C32" s="5">
        <f t="shared" si="1"/>
        <v>0.69999999999999929</v>
      </c>
      <c r="D32" s="5">
        <v>26</v>
      </c>
    </row>
    <row r="33" spans="1:4" x14ac:dyDescent="0.25">
      <c r="A33" s="5">
        <v>25</v>
      </c>
      <c r="B33" s="5">
        <f t="shared" si="0"/>
        <v>0.80000000000000071</v>
      </c>
      <c r="C33" s="5">
        <f t="shared" si="1"/>
        <v>0.80000000000000071</v>
      </c>
      <c r="D33" s="5">
        <v>27.5</v>
      </c>
    </row>
    <row r="34" spans="1:4" x14ac:dyDescent="0.25">
      <c r="A34" s="5">
        <v>25</v>
      </c>
      <c r="B34" s="5">
        <f t="shared" si="0"/>
        <v>0.80000000000000071</v>
      </c>
      <c r="C34" s="5">
        <f t="shared" si="1"/>
        <v>0.80000000000000071</v>
      </c>
      <c r="D34" s="5">
        <v>27.5</v>
      </c>
    </row>
    <row r="35" spans="1:4" x14ac:dyDescent="0.25">
      <c r="A35" s="5">
        <v>25.1</v>
      </c>
      <c r="B35" s="5">
        <f t="shared" si="0"/>
        <v>0.90000000000000213</v>
      </c>
      <c r="C35" s="5">
        <f t="shared" si="1"/>
        <v>0.90000000000000213</v>
      </c>
      <c r="D35" s="5">
        <v>29.5</v>
      </c>
    </row>
    <row r="36" spans="1:4" x14ac:dyDescent="0.25">
      <c r="A36" s="5">
        <v>25.2</v>
      </c>
      <c r="B36" s="5">
        <f t="shared" si="0"/>
        <v>1</v>
      </c>
      <c r="C36" s="5">
        <f t="shared" si="1"/>
        <v>1</v>
      </c>
      <c r="D36" s="5">
        <v>32</v>
      </c>
    </row>
    <row r="37" spans="1:4" x14ac:dyDescent="0.25">
      <c r="A37" s="5">
        <v>25.2</v>
      </c>
      <c r="B37" s="5">
        <f t="shared" si="0"/>
        <v>1</v>
      </c>
      <c r="C37" s="5">
        <f t="shared" si="1"/>
        <v>1</v>
      </c>
      <c r="D37" s="5">
        <v>32</v>
      </c>
    </row>
    <row r="38" spans="1:4" x14ac:dyDescent="0.25">
      <c r="A38" s="5">
        <v>25.2</v>
      </c>
      <c r="B38" s="5">
        <f t="shared" si="0"/>
        <v>1</v>
      </c>
      <c r="C38" s="5">
        <f t="shared" si="1"/>
        <v>1</v>
      </c>
      <c r="D38" s="5">
        <v>32</v>
      </c>
    </row>
    <row r="39" spans="1:4" x14ac:dyDescent="0.25">
      <c r="A39" s="5">
        <v>25.3</v>
      </c>
      <c r="B39" s="5">
        <f t="shared" si="0"/>
        <v>1.1000000000000014</v>
      </c>
      <c r="C39" s="5">
        <f t="shared" si="1"/>
        <v>1.1000000000000014</v>
      </c>
      <c r="D39" s="5">
        <v>34.5</v>
      </c>
    </row>
    <row r="40" spans="1:4" x14ac:dyDescent="0.25">
      <c r="A40" s="5">
        <v>25.3</v>
      </c>
      <c r="B40" s="5">
        <f t="shared" si="0"/>
        <v>1.1000000000000014</v>
      </c>
      <c r="C40" s="5">
        <f t="shared" si="1"/>
        <v>1.1000000000000014</v>
      </c>
      <c r="D40" s="5">
        <v>34.5</v>
      </c>
    </row>
    <row r="41" spans="1:4" x14ac:dyDescent="0.25">
      <c r="A41" s="5">
        <v>25.6</v>
      </c>
      <c r="B41" s="5">
        <f t="shared" si="0"/>
        <v>1.4000000000000021</v>
      </c>
      <c r="C41" s="5">
        <f t="shared" si="1"/>
        <v>1.4000000000000021</v>
      </c>
      <c r="D41" s="5">
        <v>36</v>
      </c>
    </row>
    <row r="42" spans="1:4" x14ac:dyDescent="0.25">
      <c r="A42" s="5">
        <v>25.8</v>
      </c>
      <c r="B42" s="5">
        <f t="shared" si="0"/>
        <v>1.6000000000000014</v>
      </c>
      <c r="C42" s="5">
        <f t="shared" si="1"/>
        <v>1.6000000000000014</v>
      </c>
      <c r="D42" s="5">
        <v>37</v>
      </c>
    </row>
  </sheetData>
  <sortState xmlns:xlrd2="http://schemas.microsoft.com/office/spreadsheetml/2017/richdata2" ref="A3:D42">
    <sortCondition ref="B3:B42"/>
  </sortState>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BB5296D27803045A8001FBA2A5831EC" ma:contentTypeVersion="0" ma:contentTypeDescription="Crear nuevo documento." ma:contentTypeScope="" ma:versionID="787b0e53755dd9694cd43d3a0fb0cdbd">
  <xsd:schema xmlns:xsd="http://www.w3.org/2001/XMLSchema" xmlns:xs="http://www.w3.org/2001/XMLSchema" xmlns:p="http://schemas.microsoft.com/office/2006/metadata/properties" targetNamespace="http://schemas.microsoft.com/office/2006/metadata/properties" ma:root="true" ma:fieldsID="986dcc55fc7de7b749655be5365d3ef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A4B5CC-D7CC-4EAF-98A7-DB2E0CF7031E}">
  <ds:schemaRefs>
    <ds:schemaRef ds:uri="http://schemas.microsoft.com/sharepoint/v3/contenttype/forms"/>
  </ds:schemaRefs>
</ds:datastoreItem>
</file>

<file path=customXml/itemProps2.xml><?xml version="1.0" encoding="utf-8"?>
<ds:datastoreItem xmlns:ds="http://schemas.openxmlformats.org/officeDocument/2006/customXml" ds:itemID="{4AD074BF-881D-4BDE-881D-7C3BB7B22AD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2F6EE72-0949-4206-86B7-C9791D4EA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CintaAlgodon</vt:lpstr>
      <vt:lpstr>Prueba de signo.CintaAlgodon</vt:lpstr>
      <vt:lpstr>Rangos Wilcoxon.CintaAlgodon</vt:lpstr>
      <vt:lpstr>FusiblesDefectuosos</vt:lpstr>
      <vt:lpstr>Prueba de signo.FusiblesDefectu</vt:lpstr>
      <vt:lpstr>Rangos Wilcoxon.Fusibles</vt:lpstr>
      <vt:lpstr>RendimientoGasolina</vt:lpstr>
      <vt:lpstr>Muestra grande.RendGasolina</vt:lpstr>
      <vt:lpstr>Rangos Wilcoxon.RendGasolina</vt:lpstr>
      <vt:lpstr>Hoja3</vt:lpstr>
      <vt:lpstr>Cojinetes</vt:lpstr>
      <vt:lpstr>Muestra grande.Cojinetes</vt:lpstr>
      <vt:lpstr>Rangos Wilcoxon.Cojinetes</vt:lpstr>
      <vt:lpstr>EmisionIndustrial</vt:lpstr>
      <vt:lpstr>Empleados</vt:lpstr>
      <vt:lpstr>Salario</vt:lpstr>
      <vt:lpstr>Enfermeras</vt:lpstr>
      <vt:lpstr>MANN-WHITNEY.Enfermeras</vt:lpstr>
      <vt:lpstr>Gripes</vt:lpstr>
      <vt:lpstr>MANN-WHITNEY.Gripes</vt:lpstr>
      <vt:lpstr>Kruskall-Wallis.Gripes</vt:lpstr>
      <vt:lpstr>Fauna</vt:lpstr>
      <vt:lpstr>Bonos</vt:lpstr>
      <vt:lpstr>Hoja2</vt:lpstr>
      <vt:lpstr>CentralTelefonica</vt:lpstr>
      <vt:lpstr>Bondad de ajuste.CentralTelefon</vt:lpstr>
      <vt:lpstr>EstandarResistencia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Actuaria-6</dc:creator>
  <cp:lastModifiedBy>usuario</cp:lastModifiedBy>
  <dcterms:created xsi:type="dcterms:W3CDTF">2019-05-07T20:33:10Z</dcterms:created>
  <dcterms:modified xsi:type="dcterms:W3CDTF">2021-06-27T23:51:45Z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0x0101002BB5296D27803045A8001FBA2A5831EC</vt:lpwstr>
  </property>
</Properties>
</file>