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 De León\Desktop\Inferencia\P1\"/>
    </mc:Choice>
  </mc:AlternateContent>
  <xr:revisionPtr revIDLastSave="0" documentId="13_ncr:1_{56BE55BA-2AD2-4B15-9165-0BA92AC26859}" xr6:coauthVersionLast="46" xr6:coauthVersionMax="46" xr10:uidLastSave="{00000000-0000-0000-0000-000000000000}"/>
  <bookViews>
    <workbookView xWindow="-120" yWindow="-120" windowWidth="20730" windowHeight="11160" activeTab="4" xr2:uid="{AE65863E-7CD1-42CD-A16F-2517A3B0333F}"/>
  </bookViews>
  <sheets>
    <sheet name="Problema_1" sheetId="1" r:id="rId1"/>
    <sheet name="Problema_2" sheetId="2" r:id="rId2"/>
    <sheet name="Problema_3" sheetId="3" r:id="rId3"/>
    <sheet name="Problema_4" sheetId="4" r:id="rId4"/>
    <sheet name="Problema_5" sheetId="5" r:id="rId5"/>
    <sheet name="Problema_6" sheetId="6" r:id="rId6"/>
  </sheets>
  <definedNames>
    <definedName name="_xlchart.v1.0" hidden="1">Problema_1!$F$50:$F$54</definedName>
    <definedName name="_xlchart.v1.1" hidden="1">Problema_1!$G$50:$G$54</definedName>
    <definedName name="_xlchart.v2.2" hidden="1">Problema_1!$J$13:$J$17</definedName>
    <definedName name="_xlchart.v2.3" hidden="1">Problema_1!$K$13:$K$17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6" l="1"/>
  <c r="R47" i="6"/>
  <c r="R48" i="6"/>
  <c r="R49" i="6"/>
  <c r="R50" i="6"/>
  <c r="R51" i="6"/>
  <c r="R52" i="6"/>
  <c r="R53" i="6"/>
  <c r="R54" i="6"/>
  <c r="R55" i="6"/>
  <c r="R46" i="6"/>
  <c r="H55" i="6"/>
  <c r="H54" i="6"/>
  <c r="H53" i="6"/>
  <c r="H52" i="6"/>
  <c r="H51" i="6"/>
  <c r="H50" i="6"/>
  <c r="H49" i="6"/>
  <c r="H48" i="6"/>
  <c r="H47" i="6"/>
  <c r="H46" i="6"/>
  <c r="E22" i="6"/>
  <c r="E15" i="6"/>
  <c r="C13" i="6"/>
  <c r="F38" i="6"/>
  <c r="F37" i="6"/>
  <c r="F31" i="6"/>
  <c r="F32" i="6"/>
  <c r="F33" i="6"/>
  <c r="F34" i="6"/>
  <c r="F35" i="6"/>
  <c r="F36" i="6"/>
  <c r="F29" i="6"/>
  <c r="F30" i="6"/>
  <c r="F28" i="6"/>
  <c r="E29" i="6"/>
  <c r="E30" i="6"/>
  <c r="E31" i="6"/>
  <c r="E32" i="6"/>
  <c r="E33" i="6"/>
  <c r="E34" i="6"/>
  <c r="E35" i="6"/>
  <c r="E36" i="6"/>
  <c r="E37" i="6"/>
  <c r="E28" i="6"/>
  <c r="D38" i="6"/>
  <c r="C37" i="6"/>
  <c r="C36" i="6"/>
  <c r="C35" i="6"/>
  <c r="C34" i="6"/>
  <c r="C33" i="6"/>
  <c r="C32" i="6"/>
  <c r="C31" i="6"/>
  <c r="C30" i="6"/>
  <c r="C29" i="6"/>
  <c r="C28" i="6"/>
  <c r="M22" i="6"/>
  <c r="M21" i="6"/>
  <c r="M20" i="6"/>
  <c r="M19" i="6"/>
  <c r="M17" i="6"/>
  <c r="M18" i="6" l="1"/>
  <c r="O18" i="6"/>
  <c r="N18" i="6"/>
  <c r="M16" i="6"/>
  <c r="M23" i="6" s="1"/>
  <c r="M24" i="6" s="1"/>
  <c r="M25" i="6" s="1"/>
  <c r="I14" i="6"/>
  <c r="I15" i="6"/>
  <c r="I16" i="6"/>
  <c r="I17" i="6"/>
  <c r="I18" i="6"/>
  <c r="I19" i="6"/>
  <c r="I20" i="6"/>
  <c r="I21" i="6"/>
  <c r="I13" i="6"/>
  <c r="H14" i="6"/>
  <c r="H15" i="6"/>
  <c r="H16" i="6"/>
  <c r="H17" i="6"/>
  <c r="H18" i="6"/>
  <c r="H19" i="6"/>
  <c r="H20" i="6"/>
  <c r="H21" i="6"/>
  <c r="H22" i="6"/>
  <c r="H13" i="6"/>
  <c r="J41" i="1"/>
  <c r="G14" i="6"/>
  <c r="G15" i="6"/>
  <c r="G16" i="6"/>
  <c r="G17" i="6"/>
  <c r="G18" i="6"/>
  <c r="G19" i="6"/>
  <c r="G20" i="6"/>
  <c r="G21" i="6"/>
  <c r="G22" i="6"/>
  <c r="I22" i="6" s="1"/>
  <c r="G13" i="6"/>
  <c r="I41" i="1"/>
  <c r="F23" i="6"/>
  <c r="F22" i="6"/>
  <c r="F14" i="6"/>
  <c r="F15" i="6"/>
  <c r="F16" i="6"/>
  <c r="F17" i="6"/>
  <c r="F18" i="6"/>
  <c r="F19" i="6"/>
  <c r="F20" i="6"/>
  <c r="F21" i="6"/>
  <c r="F13" i="6"/>
  <c r="H41" i="1"/>
  <c r="D23" i="6"/>
  <c r="C9" i="6"/>
  <c r="E21" i="6"/>
  <c r="E16" i="6"/>
  <c r="E17" i="6" s="1"/>
  <c r="E18" i="6" s="1"/>
  <c r="E19" i="6" s="1"/>
  <c r="E20" i="6" s="1"/>
  <c r="E14" i="6"/>
  <c r="E13" i="6"/>
  <c r="C22" i="6"/>
  <c r="C21" i="6"/>
  <c r="C20" i="6"/>
  <c r="C19" i="6"/>
  <c r="C18" i="6"/>
  <c r="C17" i="6"/>
  <c r="C16" i="6"/>
  <c r="C15" i="6"/>
  <c r="C14" i="6"/>
  <c r="B9" i="6"/>
  <c r="D41" i="1"/>
  <c r="F18" i="5"/>
  <c r="F17" i="5"/>
  <c r="F16" i="5"/>
  <c r="E18" i="5"/>
  <c r="E17" i="5"/>
  <c r="E16" i="5"/>
  <c r="E13" i="5"/>
  <c r="F10" i="5"/>
  <c r="E10" i="5"/>
  <c r="F9" i="5"/>
  <c r="E9" i="5"/>
  <c r="F11" i="2"/>
  <c r="K42" i="1"/>
  <c r="K43" i="1"/>
  <c r="K44" i="1"/>
  <c r="K45" i="1"/>
  <c r="K41" i="1"/>
  <c r="J42" i="1"/>
  <c r="J43" i="1"/>
  <c r="J44" i="1"/>
  <c r="J45" i="1"/>
  <c r="H45" i="1"/>
  <c r="H42" i="1"/>
  <c r="H43" i="1"/>
  <c r="H44" i="1"/>
  <c r="G41" i="1"/>
  <c r="D37" i="1"/>
  <c r="H46" i="1" l="1"/>
  <c r="G42" i="1" l="1"/>
  <c r="F46" i="1"/>
  <c r="E41" i="1"/>
  <c r="D36" i="1"/>
  <c r="C41" i="1"/>
  <c r="K17" i="1"/>
  <c r="K15" i="1"/>
  <c r="K13" i="1"/>
  <c r="C8" i="1"/>
  <c r="B8" i="1"/>
  <c r="C7" i="1"/>
  <c r="B7" i="1"/>
  <c r="D19" i="1"/>
  <c r="A4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1" i="1"/>
  <c r="D23" i="1"/>
  <c r="F21" i="1"/>
  <c r="K16" i="1" s="1"/>
  <c r="F20" i="1"/>
  <c r="F19" i="1"/>
  <c r="K14" i="1" s="1"/>
  <c r="D21" i="1"/>
  <c r="D20" i="1"/>
  <c r="E16" i="1"/>
  <c r="E15" i="1"/>
  <c r="E14" i="1"/>
  <c r="E13" i="1"/>
  <c r="E12" i="1"/>
  <c r="D24" i="1" s="1"/>
  <c r="D25" i="1" s="1"/>
  <c r="D31" i="1" l="1"/>
  <c r="G43" i="1"/>
  <c r="I42" i="1"/>
  <c r="C42" i="1"/>
  <c r="D27" i="1"/>
  <c r="D30" i="1"/>
  <c r="G44" i="1" l="1"/>
  <c r="I43" i="1"/>
  <c r="D42" i="1"/>
  <c r="C43" i="1" s="1"/>
  <c r="E42" i="1"/>
  <c r="G45" i="1" l="1"/>
  <c r="I45" i="1" s="1"/>
  <c r="I44" i="1"/>
  <c r="D43" i="1"/>
  <c r="E43" i="1" s="1"/>
  <c r="C44" i="1" l="1"/>
  <c r="D44" i="1"/>
  <c r="C45" i="1" s="1"/>
  <c r="D45" i="1" l="1"/>
  <c r="E45" i="1" s="1"/>
  <c r="E44" i="1"/>
</calcChain>
</file>

<file path=xl/sharedStrings.xml><?xml version="1.0" encoding="utf-8"?>
<sst xmlns="http://schemas.openxmlformats.org/spreadsheetml/2006/main" count="198" uniqueCount="108">
  <si>
    <t>Datos</t>
  </si>
  <si>
    <t>Media aritmética</t>
  </si>
  <si>
    <t>n</t>
  </si>
  <si>
    <t>Mediana</t>
  </si>
  <si>
    <t>Moda</t>
  </si>
  <si>
    <t>no hay moda porque ningún valor se repite</t>
  </si>
  <si>
    <t>Media geométrica</t>
  </si>
  <si>
    <t>Media armónica</t>
  </si>
  <si>
    <t>Percentil</t>
  </si>
  <si>
    <t>Posición</t>
  </si>
  <si>
    <t>Valor del cuartel</t>
  </si>
  <si>
    <t>Q1=P25</t>
  </si>
  <si>
    <t>Q2=P50</t>
  </si>
  <si>
    <t>Q3=P75</t>
  </si>
  <si>
    <t>Q1</t>
  </si>
  <si>
    <t>Q2</t>
  </si>
  <si>
    <t>Q3</t>
  </si>
  <si>
    <t xml:space="preserve">Amplitud </t>
  </si>
  <si>
    <t>Varianza</t>
  </si>
  <si>
    <t>Datos ^2</t>
  </si>
  <si>
    <t xml:space="preserve">Desviación </t>
  </si>
  <si>
    <t>estándar</t>
  </si>
  <si>
    <t xml:space="preserve">Coeficiente </t>
  </si>
  <si>
    <t>variabilidad</t>
  </si>
  <si>
    <t>Medidas de variabilidad</t>
  </si>
  <si>
    <t>Medidas de tendencia central</t>
  </si>
  <si>
    <t>Asimetría</t>
  </si>
  <si>
    <t>P90</t>
  </si>
  <si>
    <t>P10</t>
  </si>
  <si>
    <t>Curtosis</t>
  </si>
  <si>
    <t>Medidas de forma</t>
  </si>
  <si>
    <t>Diagrama de caja</t>
  </si>
  <si>
    <t>Dato menor</t>
  </si>
  <si>
    <t>Dato mayor</t>
  </si>
  <si>
    <t>a)</t>
  </si>
  <si>
    <t>c)</t>
  </si>
  <si>
    <t>b)</t>
  </si>
  <si>
    <t>Tabla de frecuencias</t>
  </si>
  <si>
    <t>k</t>
  </si>
  <si>
    <t>A.C.</t>
  </si>
  <si>
    <t>Intervalo</t>
  </si>
  <si>
    <t xml:space="preserve">Marca de </t>
  </si>
  <si>
    <t>absoluta ni</t>
  </si>
  <si>
    <t>absoluta aculada</t>
  </si>
  <si>
    <t>Frecuencia</t>
  </si>
  <si>
    <t>relativa</t>
  </si>
  <si>
    <t>relativa acu</t>
  </si>
  <si>
    <t>relativa en %</t>
  </si>
  <si>
    <t>relativa acumulada</t>
  </si>
  <si>
    <t>clase Xi</t>
  </si>
  <si>
    <t>d)</t>
  </si>
  <si>
    <t>20.595-23.7656</t>
  </si>
  <si>
    <t>23.7656-26.9362</t>
  </si>
  <si>
    <t>26.9362-30.1068</t>
  </si>
  <si>
    <t>30.1068-33.2774</t>
  </si>
  <si>
    <t>33.2774-36.448</t>
  </si>
  <si>
    <t>FA</t>
  </si>
  <si>
    <t>Histograma</t>
  </si>
  <si>
    <t>Poligo de frecuencia</t>
  </si>
  <si>
    <t>Pastel</t>
  </si>
  <si>
    <t>FR en %</t>
  </si>
  <si>
    <t>Ojiva</t>
  </si>
  <si>
    <t>Marca de clase</t>
  </si>
  <si>
    <t>FAA</t>
  </si>
  <si>
    <t>e)</t>
  </si>
  <si>
    <t>Año</t>
  </si>
  <si>
    <t>Crecimiento</t>
  </si>
  <si>
    <t>Factor</t>
  </si>
  <si>
    <t>Utilize la media geométrica para encontrar la media de crecimiento por año</t>
  </si>
  <si>
    <t>creo que esta es la mejor medida de tendencia central para usar en este</t>
  </si>
  <si>
    <t>caso y tenemos que es de 55.53%</t>
  </si>
  <si>
    <t>Yo utilizaría la media armónica para encontrar el rendimiento promedio porque es la mejor tendencia central para observar el comportamiento</t>
  </si>
  <si>
    <t>del rendimiento en este caso</t>
  </si>
  <si>
    <t>Decil 8</t>
  </si>
  <si>
    <t>Valor del Cuartel</t>
  </si>
  <si>
    <t>Percentil 42%</t>
  </si>
  <si>
    <t>Percentil 50%</t>
  </si>
  <si>
    <t>Percentil 87%</t>
  </si>
  <si>
    <t>10-10.9</t>
  </si>
  <si>
    <t>11-11.9</t>
  </si>
  <si>
    <t>12-12.9</t>
  </si>
  <si>
    <t>13-13.9</t>
  </si>
  <si>
    <t>14-14.9</t>
  </si>
  <si>
    <t>15-15.9</t>
  </si>
  <si>
    <t>16-16.9</t>
  </si>
  <si>
    <t>17-17.9</t>
  </si>
  <si>
    <t>18-18.9</t>
  </si>
  <si>
    <t>19-19.9</t>
  </si>
  <si>
    <t>K</t>
  </si>
  <si>
    <t>Promedio</t>
  </si>
  <si>
    <t>Amplitud</t>
  </si>
  <si>
    <t>Desv- estándar</t>
  </si>
  <si>
    <t>Coef. De variabilidad</t>
  </si>
  <si>
    <t>DATOS AGRUPADOS</t>
  </si>
  <si>
    <t>Xi</t>
  </si>
  <si>
    <t>fi</t>
  </si>
  <si>
    <t>fi en %</t>
  </si>
  <si>
    <t>Se podría usar la media geometrica para calcular la tasa de crecimiento anual y asi poderla comparar con el promedio industrial</t>
  </si>
  <si>
    <t>ri</t>
  </si>
  <si>
    <t>Fi</t>
  </si>
  <si>
    <t>Promedio total</t>
  </si>
  <si>
    <t>Para la varianza</t>
  </si>
  <si>
    <t>absoluta fi</t>
  </si>
  <si>
    <t>fixi</t>
  </si>
  <si>
    <t>fixi^2</t>
  </si>
  <si>
    <t>aquí calcule la mediana</t>
  </si>
  <si>
    <t>La frecuencia absoluta mas grande</t>
  </si>
  <si>
    <t>abs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</si>
</sst>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0" fontId="0" fillId="3" borderId="1" xfId="0" applyFill="1" applyBorder="1"/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4" fillId="0" borderId="2" xfId="0" applyFont="1" applyBorder="1" applyAlignment="1"/>
    <xf numFmtId="0" fontId="3" fillId="0" borderId="10" xfId="0" applyFont="1" applyBorder="1" applyAlignment="1"/>
    <xf numFmtId="0" fontId="3" fillId="0" borderId="3" xfId="0" applyFont="1" applyBorder="1" applyAlignment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4" fillId="0" borderId="0" xfId="0" applyFont="1" applyBorder="1"/>
    <xf numFmtId="0" fontId="3" fillId="0" borderId="0" xfId="0" applyFont="1" applyBorder="1"/>
    <xf numFmtId="0" fontId="0" fillId="0" borderId="11" xfId="0" applyBorder="1"/>
    <xf numFmtId="0" fontId="0" fillId="0" borderId="7" xfId="0" applyBorder="1"/>
    <xf numFmtId="0" fontId="0" fillId="5" borderId="5" xfId="0" applyFill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4" xfId="0" applyBorder="1" applyAlignment="1"/>
    <xf numFmtId="0" fontId="0" fillId="0" borderId="0" xfId="0" applyBorder="1" applyAlignment="1"/>
    <xf numFmtId="0" fontId="4" fillId="0" borderId="2" xfId="0" applyFont="1" applyBorder="1" applyAlignment="1">
      <alignment horizontal="left"/>
    </xf>
    <xf numFmtId="0" fontId="0" fillId="0" borderId="0" xfId="0" applyFill="1"/>
    <xf numFmtId="0" fontId="0" fillId="6" borderId="8" xfId="0" applyFill="1" applyBorder="1" applyAlignment="1"/>
    <xf numFmtId="0" fontId="0" fillId="6" borderId="8" xfId="0" applyFill="1" applyBorder="1"/>
    <xf numFmtId="0" fontId="0" fillId="6" borderId="3" xfId="0" applyFill="1" applyBorder="1"/>
    <xf numFmtId="0" fontId="0" fillId="6" borderId="9" xfId="0" applyFill="1" applyBorder="1" applyAlignment="1"/>
    <xf numFmtId="0" fontId="0" fillId="6" borderId="9" xfId="0" applyFill="1" applyBorder="1"/>
    <xf numFmtId="0" fontId="0" fillId="6" borderId="7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/>
    <xf numFmtId="0" fontId="4" fillId="0" borderId="4" xfId="0" applyFont="1" applyBorder="1"/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NumberFormat="1" applyFill="1" applyBorder="1"/>
    <xf numFmtId="0" fontId="0" fillId="10" borderId="1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/>
    <xf numFmtId="0" fontId="0" fillId="14" borderId="0" xfId="0" applyFill="1"/>
    <xf numFmtId="0" fontId="0" fillId="15" borderId="0" xfId="0" applyFill="1"/>
    <xf numFmtId="0" fontId="0" fillId="3" borderId="8" xfId="0" applyFill="1" applyBorder="1" applyAlignment="1"/>
    <xf numFmtId="0" fontId="0" fillId="3" borderId="3" xfId="0" applyFill="1" applyBorder="1"/>
    <xf numFmtId="0" fontId="0" fillId="3" borderId="9" xfId="0" applyFill="1" applyBorder="1" applyAlignment="1"/>
    <xf numFmtId="0" fontId="0" fillId="3" borderId="7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/>
    <xf numFmtId="0" fontId="0" fillId="16" borderId="0" xfId="0" applyFill="1"/>
    <xf numFmtId="0" fontId="0" fillId="16" borderId="0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0" xfId="0" applyFill="1"/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8" xfId="0" applyFill="1" applyBorder="1" applyAlignment="1"/>
    <xf numFmtId="0" fontId="0" fillId="12" borderId="8" xfId="0" applyFill="1" applyBorder="1"/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/>
    <xf numFmtId="0" fontId="0" fillId="12" borderId="9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/>
    <xf numFmtId="0" fontId="0" fillId="16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/>
    <xf numFmtId="0" fontId="0" fillId="13" borderId="8" xfId="0" applyFill="1" applyBorder="1" applyAlignment="1"/>
    <xf numFmtId="0" fontId="0" fillId="13" borderId="8" xfId="0" applyFill="1" applyBorder="1"/>
    <xf numFmtId="0" fontId="0" fillId="13" borderId="9" xfId="0" applyFill="1" applyBorder="1" applyAlignment="1"/>
    <xf numFmtId="0" fontId="0" fillId="13" borderId="9" xfId="0" applyFill="1" applyBorder="1"/>
    <xf numFmtId="0" fontId="0" fillId="19" borderId="1" xfId="0" applyFill="1" applyBorder="1" applyAlignment="1"/>
    <xf numFmtId="0" fontId="0" fillId="19" borderId="1" xfId="0" applyFill="1" applyBorder="1"/>
    <xf numFmtId="0" fontId="0" fillId="20" borderId="1" xfId="0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Salas de cine techadas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Problema_1!$E$41:$E$45</c:f>
              <c:numCache>
                <c:formatCode>General</c:formatCode>
                <c:ptCount val="5"/>
                <c:pt idx="0">
                  <c:v>22.180299999999999</c:v>
                </c:pt>
                <c:pt idx="1">
                  <c:v>25.350899999999999</c:v>
                </c:pt>
                <c:pt idx="2">
                  <c:v>28.5215</c:v>
                </c:pt>
                <c:pt idx="3">
                  <c:v>31.6921</c:v>
                </c:pt>
                <c:pt idx="4">
                  <c:v>34.862700000000004</c:v>
                </c:pt>
              </c:numCache>
            </c:numRef>
          </c:xVal>
          <c:yVal>
            <c:numRef>
              <c:f>Problema_1!$F$41:$F$45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82A-8641-334390C2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34960"/>
        <c:axId val="1577558672"/>
      </c:scatterChart>
      <c:valAx>
        <c:axId val="15775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558672"/>
        <c:crosses val="autoZero"/>
        <c:crossBetween val="midCat"/>
      </c:valAx>
      <c:valAx>
        <c:axId val="1577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5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Problema_1!$G$75</c:f>
              <c:strCache>
                <c:ptCount val="1"/>
                <c:pt idx="0">
                  <c:v>FR en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F1-4282-B515-4F57A4867F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F1-4282-B515-4F57A4867F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F1-4282-B515-4F57A4867F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F1-4282-B515-4F57A4867F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F1-4282-B515-4F57A4867F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Problema_1!$F$76:$F$80</c:f>
              <c:strCache>
                <c:ptCount val="5"/>
                <c:pt idx="0">
                  <c:v>20.595-23.7656</c:v>
                </c:pt>
                <c:pt idx="1">
                  <c:v>23.7656-26.9362</c:v>
                </c:pt>
                <c:pt idx="2">
                  <c:v>26.9362-30.1068</c:v>
                </c:pt>
                <c:pt idx="3">
                  <c:v>30.1068-33.2774</c:v>
                </c:pt>
                <c:pt idx="4">
                  <c:v>33.2774-36.448</c:v>
                </c:pt>
              </c:strCache>
            </c:strRef>
          </c:cat>
          <c:val>
            <c:numRef>
              <c:f>Problema_1!$G$76:$G$80</c:f>
              <c:numCache>
                <c:formatCode>General</c:formatCode>
                <c:ptCount val="5"/>
                <c:pt idx="0">
                  <c:v>29.411764699999999</c:v>
                </c:pt>
                <c:pt idx="1">
                  <c:v>17.6470588</c:v>
                </c:pt>
                <c:pt idx="2">
                  <c:v>11.764705899999999</c:v>
                </c:pt>
                <c:pt idx="3">
                  <c:v>5.8823599399999997</c:v>
                </c:pt>
                <c:pt idx="4">
                  <c:v>35.2941176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4-4180-8151-49262154C85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Problema_1!$G$87</c:f>
              <c:strCache>
                <c:ptCount val="1"/>
                <c:pt idx="0">
                  <c:v>FAA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Problema_1!$F$88:$F$92</c:f>
              <c:numCache>
                <c:formatCode>General</c:formatCode>
                <c:ptCount val="5"/>
                <c:pt idx="0">
                  <c:v>22.180299999999999</c:v>
                </c:pt>
                <c:pt idx="1">
                  <c:v>25.350899999999999</c:v>
                </c:pt>
                <c:pt idx="2">
                  <c:v>28.5215</c:v>
                </c:pt>
                <c:pt idx="3">
                  <c:v>31.6921</c:v>
                </c:pt>
                <c:pt idx="4">
                  <c:v>34.862699999999997</c:v>
                </c:pt>
              </c:numCache>
            </c:numRef>
          </c:xVal>
          <c:yVal>
            <c:numRef>
              <c:f>Problema_1!$G$88:$G$92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964-A2A9-F20814FC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30800"/>
        <c:axId val="1577537872"/>
      </c:scatterChart>
      <c:valAx>
        <c:axId val="15775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537872"/>
        <c:crosses val="autoZero"/>
        <c:crossBetween val="midCat"/>
      </c:valAx>
      <c:valAx>
        <c:axId val="1577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5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Problema_6!$H$28:$H$37</c:f>
              <c:strCache>
                <c:ptCount val="10"/>
                <c:pt idx="0">
                  <c:v>10-10.9</c:v>
                </c:pt>
                <c:pt idx="1">
                  <c:v>11-11.9</c:v>
                </c:pt>
                <c:pt idx="2">
                  <c:v>12-12.9</c:v>
                </c:pt>
                <c:pt idx="3">
                  <c:v>13-13.9</c:v>
                </c:pt>
                <c:pt idx="4">
                  <c:v>14-14.9</c:v>
                </c:pt>
                <c:pt idx="5">
                  <c:v>15-15.9</c:v>
                </c:pt>
                <c:pt idx="6">
                  <c:v>16-16.9</c:v>
                </c:pt>
                <c:pt idx="7">
                  <c:v>17-17.9</c:v>
                </c:pt>
                <c:pt idx="8">
                  <c:v>18-18.9</c:v>
                </c:pt>
                <c:pt idx="9">
                  <c:v>19-19.9</c:v>
                </c:pt>
              </c:strCache>
            </c:strRef>
          </c:cat>
          <c:val>
            <c:numRef>
              <c:f>Problema_6!$I$28:$I$37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EF4-AFD9-22E5DCB6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18608"/>
        <c:axId val="173919024"/>
      </c:barChart>
      <c:catAx>
        <c:axId val="1739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19024"/>
        <c:crosses val="autoZero"/>
        <c:auto val="1"/>
        <c:lblAlgn val="ctr"/>
        <c:lblOffset val="100"/>
        <c:noMultiLvlLbl val="0"/>
      </c:catAx>
      <c:valAx>
        <c:axId val="173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9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Problema_6!$C$13:$C$22</c:f>
              <c:numCache>
                <c:formatCode>General</c:formatCode>
                <c:ptCount val="10"/>
                <c:pt idx="0">
                  <c:v>10.45</c:v>
                </c:pt>
                <c:pt idx="1">
                  <c:v>11.45</c:v>
                </c:pt>
                <c:pt idx="2">
                  <c:v>12.45</c:v>
                </c:pt>
                <c:pt idx="3">
                  <c:v>13.45</c:v>
                </c:pt>
                <c:pt idx="4">
                  <c:v>14.45</c:v>
                </c:pt>
                <c:pt idx="5">
                  <c:v>15.45</c:v>
                </c:pt>
                <c:pt idx="6">
                  <c:v>16.45</c:v>
                </c:pt>
                <c:pt idx="7">
                  <c:v>17.45</c:v>
                </c:pt>
                <c:pt idx="8">
                  <c:v>18.45</c:v>
                </c:pt>
                <c:pt idx="9">
                  <c:v>19.45</c:v>
                </c:pt>
              </c:numCache>
            </c:numRef>
          </c:cat>
          <c:val>
            <c:numRef>
              <c:f>Problema_6!$D$13:$D$22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CE5-9843-EF5A507A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374672"/>
        <c:axId val="1566391728"/>
      </c:lineChart>
      <c:catAx>
        <c:axId val="15663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391728"/>
        <c:crosses val="autoZero"/>
        <c:auto val="1"/>
        <c:lblAlgn val="ctr"/>
        <c:lblOffset val="100"/>
        <c:noMultiLvlLbl val="0"/>
      </c:catAx>
      <c:valAx>
        <c:axId val="15663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3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Ojiva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Problema_6!$H$46:$H$55</c:f>
              <c:numCache>
                <c:formatCode>General</c:formatCode>
                <c:ptCount val="10"/>
                <c:pt idx="0">
                  <c:v>10.45</c:v>
                </c:pt>
                <c:pt idx="1">
                  <c:v>11.45</c:v>
                </c:pt>
                <c:pt idx="2">
                  <c:v>12.45</c:v>
                </c:pt>
                <c:pt idx="3">
                  <c:v>13.45</c:v>
                </c:pt>
                <c:pt idx="4">
                  <c:v>14.45</c:v>
                </c:pt>
                <c:pt idx="5">
                  <c:v>15.45</c:v>
                </c:pt>
                <c:pt idx="6">
                  <c:v>16.45</c:v>
                </c:pt>
                <c:pt idx="7">
                  <c:v>17.45</c:v>
                </c:pt>
                <c:pt idx="8">
                  <c:v>18.45</c:v>
                </c:pt>
                <c:pt idx="9">
                  <c:v>19.45</c:v>
                </c:pt>
              </c:numCache>
            </c:numRef>
          </c:cat>
          <c:val>
            <c:numRef>
              <c:f>Problema_6!$I$46:$I$55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42</c:v>
                </c:pt>
                <c:pt idx="6">
                  <c:v>50</c:v>
                </c:pt>
                <c:pt idx="7">
                  <c:v>57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4-44A7-BCF2-6F344235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407120"/>
        <c:axId val="1566394640"/>
      </c:lineChart>
      <c:catAx>
        <c:axId val="15664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394640"/>
        <c:crosses val="autoZero"/>
        <c:auto val="1"/>
        <c:lblAlgn val="ctr"/>
        <c:lblOffset val="100"/>
        <c:noMultiLvlLbl val="0"/>
      </c:catAx>
      <c:valAx>
        <c:axId val="15663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4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Pastel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Problema_6!$Q$46:$Q$54</c:f>
              <c:strCache>
                <c:ptCount val="9"/>
                <c:pt idx="0">
                  <c:v>10-10.9</c:v>
                </c:pt>
                <c:pt idx="1">
                  <c:v>11-11.9</c:v>
                </c:pt>
                <c:pt idx="2">
                  <c:v>12-12.9</c:v>
                </c:pt>
                <c:pt idx="3">
                  <c:v>13-13.9</c:v>
                </c:pt>
                <c:pt idx="4">
                  <c:v>14-14.9</c:v>
                </c:pt>
                <c:pt idx="5">
                  <c:v>15-15.9</c:v>
                </c:pt>
                <c:pt idx="6">
                  <c:v>16-16.9</c:v>
                </c:pt>
                <c:pt idx="7">
                  <c:v>17-17.9</c:v>
                </c:pt>
                <c:pt idx="8">
                  <c:v>18-18.9</c:v>
                </c:pt>
              </c:strCache>
            </c:strRef>
          </c:cat>
          <c:val>
            <c:numRef>
              <c:f>Problema_6!$R$46:$R$54</c:f>
              <c:numCache>
                <c:formatCode>General</c:formatCode>
                <c:ptCount val="9"/>
                <c:pt idx="0">
                  <c:v>1.5384615384615385</c:v>
                </c:pt>
                <c:pt idx="1">
                  <c:v>6.1538461538461542</c:v>
                </c:pt>
                <c:pt idx="2">
                  <c:v>9.2307692307692317</c:v>
                </c:pt>
                <c:pt idx="3">
                  <c:v>12.307692307692308</c:v>
                </c:pt>
                <c:pt idx="4">
                  <c:v>18.461538461538463</c:v>
                </c:pt>
                <c:pt idx="5">
                  <c:v>16.923076923076923</c:v>
                </c:pt>
                <c:pt idx="6">
                  <c:v>12.307692307692308</c:v>
                </c:pt>
                <c:pt idx="7">
                  <c:v>10.76923076923077</c:v>
                </c:pt>
                <c:pt idx="8">
                  <c:v>9.2307692307692317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D-4335-8D80-DBA938F9BF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Salas de cine techadas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Salas de cine techadas</a:t>
          </a:r>
        </a:p>
      </cx:txPr>
    </cx:title>
    <cx:plotArea>
      <cx:plotAreaRegion>
        <cx:series layoutId="clusteredColumn" uniqueId="{A55546A8-767F-4515-9391-A6BAD6E61F97}">
          <cx:dataId val="0"/>
          <cx:layoutPr>
            <cx:aggregation/>
          </cx:layoutPr>
          <cx:axisId val="1"/>
        </cx:series>
        <cx:series layoutId="paretoLine" ownerIdx="0" uniqueId="{173F590D-579B-420A-B820-15B748092D7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484BDA8C-FEBD-46EC-BCDE-6210B5E262F5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9525</xdr:rowOff>
    </xdr:from>
    <xdr:to>
      <xdr:col>10</xdr:col>
      <xdr:colOff>762000</xdr:colOff>
      <xdr:row>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2D707C-3688-47B8-A8A8-777A19D69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52" t="52351" r="8714" b="11684"/>
        <a:stretch/>
      </xdr:blipFill>
      <xdr:spPr>
        <a:xfrm>
          <a:off x="2305050" y="9525"/>
          <a:ext cx="6076950" cy="1609725"/>
        </a:xfrm>
        <a:prstGeom prst="rect">
          <a:avLst/>
        </a:prstGeom>
      </xdr:spPr>
    </xdr:pic>
    <xdr:clientData/>
  </xdr:twoCellAnchor>
  <xdr:twoCellAnchor>
    <xdr:from>
      <xdr:col>7</xdr:col>
      <xdr:colOff>219075</xdr:colOff>
      <xdr:row>48</xdr:row>
      <xdr:rowOff>90487</xdr:rowOff>
    </xdr:from>
    <xdr:to>
      <xdr:col>11</xdr:col>
      <xdr:colOff>695325</xdr:colOff>
      <xdr:row>61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6C9D814-DAE4-4C3B-ACA3-2B4E8291C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9358312"/>
              <a:ext cx="3924300" cy="2433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247650</xdr:colOff>
      <xdr:row>62</xdr:row>
      <xdr:rowOff>4762</xdr:rowOff>
    </xdr:from>
    <xdr:to>
      <xdr:col>11</xdr:col>
      <xdr:colOff>695325</xdr:colOff>
      <xdr:row>73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F1155B-6D62-4575-93DF-EDFB6539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74</xdr:row>
      <xdr:rowOff>52388</xdr:rowOff>
    </xdr:from>
    <xdr:to>
      <xdr:col>11</xdr:col>
      <xdr:colOff>676275</xdr:colOff>
      <xdr:row>85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A16662-80CE-4CE9-9C91-2EBBCB762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86</xdr:row>
      <xdr:rowOff>23812</xdr:rowOff>
    </xdr:from>
    <xdr:to>
      <xdr:col>11</xdr:col>
      <xdr:colOff>628650</xdr:colOff>
      <xdr:row>98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3822DB-7ADF-4C70-9B2A-023BB267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18</xdr:row>
      <xdr:rowOff>14287</xdr:rowOff>
    </xdr:from>
    <xdr:to>
      <xdr:col>14</xdr:col>
      <xdr:colOff>590550</xdr:colOff>
      <xdr:row>26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05DE8D5-D423-4EE9-87D2-BBB344C97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3490912"/>
              <a:ext cx="3943350" cy="1747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</xdr:colOff>
      <xdr:row>0</xdr:row>
      <xdr:rowOff>66675</xdr:rowOff>
    </xdr:from>
    <xdr:to>
      <xdr:col>11</xdr:col>
      <xdr:colOff>668358</xdr:colOff>
      <xdr:row>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ECA19-E3A4-4FE7-A495-359BDB7C6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06" t="47868" r="17650" b="43559"/>
        <a:stretch/>
      </xdr:blipFill>
      <xdr:spPr>
        <a:xfrm>
          <a:off x="1600199" y="66675"/>
          <a:ext cx="7450159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9</xdr:col>
      <xdr:colOff>742950</xdr:colOff>
      <xdr:row>10</xdr:row>
      <xdr:rowOff>181808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462061-12E0-4D7F-91B6-543B14E66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478" t="34659" r="17740" b="25099"/>
        <a:stretch/>
      </xdr:blipFill>
      <xdr:spPr>
        <a:xfrm>
          <a:off x="1533525" y="0"/>
          <a:ext cx="6067425" cy="20868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733424</xdr:colOff>
      <xdr:row>0</xdr:row>
      <xdr:rowOff>0</xdr:rowOff>
    </xdr:from>
    <xdr:to>
      <xdr:col>11</xdr:col>
      <xdr:colOff>41389</xdr:colOff>
      <xdr:row>3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3CD934-2AEF-4C83-A1B8-D2BF842D0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448" t="27084" r="17845" b="61186"/>
        <a:stretch/>
      </xdr:blipFill>
      <xdr:spPr>
        <a:xfrm>
          <a:off x="1495424" y="0"/>
          <a:ext cx="6927965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704849</xdr:colOff>
      <xdr:row>0</xdr:row>
      <xdr:rowOff>47625</xdr:rowOff>
    </xdr:from>
    <xdr:to>
      <xdr:col>8</xdr:col>
      <xdr:colOff>635576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3E7367-B23C-4C8B-A3E8-91255AD7DD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75" t="43278" r="26337" b="40853"/>
        <a:stretch/>
      </xdr:blipFill>
      <xdr:spPr>
        <a:xfrm>
          <a:off x="1466849" y="47625"/>
          <a:ext cx="5779077" cy="89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</xdr:row>
      <xdr:rowOff>9524</xdr:rowOff>
    </xdr:from>
    <xdr:to>
      <xdr:col>8</xdr:col>
      <xdr:colOff>1028700</xdr:colOff>
      <xdr:row>6</xdr:row>
      <xdr:rowOff>101683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24385D-B4E4-4AAD-9941-2BEFECA787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89" t="61907" r="17320" b="18044"/>
        <a:stretch/>
      </xdr:blipFill>
      <xdr:spPr>
        <a:xfrm>
          <a:off x="209549" y="200024"/>
          <a:ext cx="6153151" cy="1044659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752474</xdr:colOff>
      <xdr:row>0</xdr:row>
      <xdr:rowOff>0</xdr:rowOff>
    </xdr:from>
    <xdr:to>
      <xdr:col>14</xdr:col>
      <xdr:colOff>619125</xdr:colOff>
      <xdr:row>13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9A1E00-BFBD-40C8-BEA3-69C40860D8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839" t="15538" r="30923" b="25162"/>
        <a:stretch/>
      </xdr:blipFill>
      <xdr:spPr>
        <a:xfrm>
          <a:off x="6848474" y="0"/>
          <a:ext cx="4191001" cy="2781300"/>
        </a:xfrm>
        <a:prstGeom prst="rect">
          <a:avLst/>
        </a:prstGeom>
      </xdr:spPr>
    </xdr:pic>
    <xdr:clientData/>
  </xdr:twoCellAnchor>
  <xdr:twoCellAnchor>
    <xdr:from>
      <xdr:col>9</xdr:col>
      <xdr:colOff>285751</xdr:colOff>
      <xdr:row>25</xdr:row>
      <xdr:rowOff>184150</xdr:rowOff>
    </xdr:from>
    <xdr:to>
      <xdr:col>14</xdr:col>
      <xdr:colOff>529168</xdr:colOff>
      <xdr:row>40</xdr:row>
      <xdr:rowOff>69850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8B45C3-39DD-4F16-AB36-11D150A7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21167</xdr:colOff>
      <xdr:row>26</xdr:row>
      <xdr:rowOff>25400</xdr:rowOff>
    </xdr:from>
    <xdr:to>
      <xdr:col>21</xdr:col>
      <xdr:colOff>21167</xdr:colOff>
      <xdr:row>40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0442C6-9749-4F87-826F-D6000922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370416</xdr:colOff>
      <xdr:row>43</xdr:row>
      <xdr:rowOff>14818</xdr:rowOff>
    </xdr:from>
    <xdr:to>
      <xdr:col>14</xdr:col>
      <xdr:colOff>613833</xdr:colOff>
      <xdr:row>57</xdr:row>
      <xdr:rowOff>91018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6A9F86-D8B1-4887-9A2C-55AEAA7E5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740834</xdr:colOff>
      <xdr:row>43</xdr:row>
      <xdr:rowOff>14817</xdr:rowOff>
    </xdr:from>
    <xdr:to>
      <xdr:col>24</xdr:col>
      <xdr:colOff>740834</xdr:colOff>
      <xdr:row>57</xdr:row>
      <xdr:rowOff>91017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6E07CE-245B-4C98-80B5-B2C3A70C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E090E-47D1-4CAF-994B-5FB8A53D0DCC}" name="Tabla1" displayName="Tabla1" ref="A11:A28" totalsRowShown="0" dataDxfId="1">
  <autoFilter ref="A11:A28" xr:uid="{99B7F43F-C62A-436D-B465-89985571DBAC}"/>
  <sortState xmlns:xlrd2="http://schemas.microsoft.com/office/spreadsheetml/2017/richdata2" ref="A12:A28">
    <sortCondition ref="A11:A28"/>
  </sortState>
  <tableColumns count="1">
    <tableColumn id="1" xr3:uid="{BDAE7682-A60F-4F69-9253-47041F03BB57}" name="Dato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FB82-E1CF-42C5-A341-50AF4121F984}">
  <dimension ref="A7:P102"/>
  <sheetViews>
    <sheetView topLeftCell="A7" workbookViewId="0">
      <selection activeCell="R25" sqref="R25"/>
    </sheetView>
  </sheetViews>
  <sheetFormatPr baseColWidth="10" defaultRowHeight="15" x14ac:dyDescent="0.25"/>
  <cols>
    <col min="11" max="11" width="17.42578125" customWidth="1"/>
  </cols>
  <sheetData>
    <row r="7" spans="1:16" x14ac:dyDescent="0.25">
      <c r="A7" t="s">
        <v>27</v>
      </c>
      <c r="B7">
        <f>(90*(B9+1))/100</f>
        <v>16.2</v>
      </c>
      <c r="C7">
        <f>(A27+A28)/2</f>
        <v>36.0075</v>
      </c>
    </row>
    <row r="8" spans="1:16" x14ac:dyDescent="0.25">
      <c r="A8" t="s">
        <v>28</v>
      </c>
      <c r="B8">
        <f>(10*(B9+1))/100</f>
        <v>1.8</v>
      </c>
      <c r="C8">
        <f>(A12+A13)/2</f>
        <v>21.113500000000002</v>
      </c>
    </row>
    <row r="9" spans="1:16" x14ac:dyDescent="0.25">
      <c r="A9" t="s">
        <v>2</v>
      </c>
      <c r="B9">
        <v>17</v>
      </c>
    </row>
    <row r="11" spans="1:16" ht="18.75" x14ac:dyDescent="0.3">
      <c r="A11" t="s">
        <v>0</v>
      </c>
      <c r="C11" s="16" t="s">
        <v>25</v>
      </c>
      <c r="D11" s="17"/>
      <c r="E11" s="17"/>
      <c r="F11" s="17"/>
      <c r="G11" s="17"/>
      <c r="H11" s="17"/>
      <c r="I11" s="18"/>
      <c r="J11" s="33" t="s">
        <v>31</v>
      </c>
      <c r="K11" s="28"/>
      <c r="L11" s="28"/>
      <c r="M11" s="28"/>
      <c r="N11" s="28"/>
      <c r="O11" s="28"/>
      <c r="P11" s="29"/>
    </row>
    <row r="12" spans="1:16" x14ac:dyDescent="0.25">
      <c r="A12" s="1">
        <v>20.594999999999999</v>
      </c>
      <c r="C12" s="74" t="s">
        <v>1</v>
      </c>
      <c r="D12" s="74"/>
      <c r="E12" s="2">
        <f>AVERAGE(Tabla1[Datos])</f>
        <v>28.420294117647057</v>
      </c>
      <c r="F12" s="19"/>
      <c r="G12" s="19"/>
      <c r="H12" s="19"/>
      <c r="I12" s="20"/>
      <c r="J12" s="31"/>
      <c r="K12" s="32"/>
      <c r="L12" s="19"/>
      <c r="M12" s="19"/>
      <c r="N12" s="19"/>
      <c r="O12" s="19"/>
      <c r="P12" s="20"/>
    </row>
    <row r="13" spans="1:16" x14ac:dyDescent="0.25">
      <c r="A13" s="1">
        <v>21.632000000000001</v>
      </c>
      <c r="C13" s="74" t="s">
        <v>3</v>
      </c>
      <c r="D13" s="74"/>
      <c r="E13" s="2">
        <f>MEDIAN(Tabla1[Datos])</f>
        <v>26.995000000000001</v>
      </c>
      <c r="F13" s="19"/>
      <c r="G13" s="19"/>
      <c r="H13" s="19"/>
      <c r="I13" s="20"/>
      <c r="J13" s="31" t="s">
        <v>32</v>
      </c>
      <c r="K13" s="32">
        <f>A12</f>
        <v>20.594999999999999</v>
      </c>
      <c r="L13" s="19"/>
      <c r="M13" s="19"/>
      <c r="N13" s="19"/>
      <c r="O13" s="19"/>
      <c r="P13" s="20"/>
    </row>
    <row r="14" spans="1:16" x14ac:dyDescent="0.25">
      <c r="A14" s="1">
        <v>21.907</v>
      </c>
      <c r="C14" s="74" t="s">
        <v>4</v>
      </c>
      <c r="D14" s="74"/>
      <c r="E14" s="2" t="e">
        <f>_xlfn.MODE.SNGL(Tabla1[Datos])</f>
        <v>#N/A</v>
      </c>
      <c r="F14" s="19" t="s">
        <v>5</v>
      </c>
      <c r="G14" s="19"/>
      <c r="H14" s="19"/>
      <c r="I14" s="20"/>
      <c r="J14" s="31" t="s">
        <v>14</v>
      </c>
      <c r="K14" s="32">
        <f>F19</f>
        <v>23.321999999999999</v>
      </c>
      <c r="L14" s="19"/>
      <c r="M14" s="19"/>
      <c r="N14" s="19"/>
      <c r="O14" s="19"/>
      <c r="P14" s="20"/>
    </row>
    <row r="15" spans="1:16" x14ac:dyDescent="0.25">
      <c r="A15" s="1">
        <v>22.904</v>
      </c>
      <c r="C15" s="74" t="s">
        <v>6</v>
      </c>
      <c r="D15" s="74"/>
      <c r="E15" s="2">
        <f>(A28/A12)^(1/B9)</f>
        <v>1.0341488498982379</v>
      </c>
      <c r="F15" s="19"/>
      <c r="G15" s="19"/>
      <c r="H15" s="19"/>
      <c r="I15" s="20"/>
      <c r="J15" s="31" t="s">
        <v>15</v>
      </c>
      <c r="K15" s="32">
        <f>F20</f>
        <v>26.995000000000001</v>
      </c>
      <c r="L15" s="19"/>
      <c r="M15" s="19"/>
      <c r="N15" s="19"/>
      <c r="O15" s="19"/>
      <c r="P15" s="20"/>
    </row>
    <row r="16" spans="1:16" x14ac:dyDescent="0.25">
      <c r="A16" s="1">
        <v>23.74</v>
      </c>
      <c r="C16" s="74" t="s">
        <v>7</v>
      </c>
      <c r="D16" s="74"/>
      <c r="E16" s="2">
        <f>B9/((1/A12)+(1/A13)+(1/A14)+(1/A15)+(1/Tabla1[[#This Row],[Datos]])+(1/A17)+(1/A18)+(1/A19)+(1/A20)+(1/A21)+(1/A22)+(1/A23)+(1/A24)+(1/A25)+(1/A26)+(1/A27)+(1/A28))</f>
        <v>27.358605647869815</v>
      </c>
      <c r="F16" s="19"/>
      <c r="G16" s="19"/>
      <c r="H16" s="19"/>
      <c r="I16" s="20"/>
      <c r="J16" s="31" t="s">
        <v>16</v>
      </c>
      <c r="K16" s="32">
        <f>F21</f>
        <v>34.83</v>
      </c>
      <c r="L16" s="19"/>
      <c r="M16" s="19"/>
      <c r="N16" s="19"/>
      <c r="O16" s="19"/>
      <c r="P16" s="20"/>
    </row>
    <row r="17" spans="1:16" x14ac:dyDescent="0.25">
      <c r="A17" s="1">
        <v>24.344000000000001</v>
      </c>
      <c r="C17" s="21"/>
      <c r="D17" s="19"/>
      <c r="E17" s="19"/>
      <c r="F17" s="19"/>
      <c r="G17" s="19"/>
      <c r="H17" s="19"/>
      <c r="I17" s="20"/>
      <c r="J17" s="31" t="s">
        <v>33</v>
      </c>
      <c r="K17" s="32">
        <f>A28</f>
        <v>36.448</v>
      </c>
      <c r="L17" s="19"/>
      <c r="M17" s="19"/>
      <c r="N17" s="19"/>
      <c r="O17" s="19"/>
      <c r="P17" s="20"/>
    </row>
    <row r="18" spans="1:16" x14ac:dyDescent="0.25">
      <c r="A18" s="1">
        <v>24.789000000000001</v>
      </c>
      <c r="C18" s="2" t="s">
        <v>8</v>
      </c>
      <c r="D18" s="2" t="s">
        <v>9</v>
      </c>
      <c r="E18" s="74" t="s">
        <v>10</v>
      </c>
      <c r="F18" s="74"/>
      <c r="G18" s="19"/>
      <c r="H18" s="19"/>
      <c r="I18" s="20"/>
      <c r="J18" s="31"/>
      <c r="K18" s="32"/>
      <c r="L18" s="19"/>
      <c r="M18" s="19"/>
      <c r="N18" s="19"/>
      <c r="O18" s="19"/>
      <c r="P18" s="20"/>
    </row>
    <row r="19" spans="1:16" x14ac:dyDescent="0.25">
      <c r="A19" s="1">
        <v>25.83</v>
      </c>
      <c r="C19" s="2" t="s">
        <v>11</v>
      </c>
      <c r="D19" s="2">
        <f>0.25*(B9+1)</f>
        <v>4.5</v>
      </c>
      <c r="E19" s="3" t="s">
        <v>14</v>
      </c>
      <c r="F19" s="4">
        <f>A15+(A16-A15)*0.5</f>
        <v>23.321999999999999</v>
      </c>
      <c r="G19" s="19"/>
      <c r="H19" s="19"/>
      <c r="I19" s="20"/>
      <c r="J19" s="31"/>
      <c r="K19" s="32"/>
      <c r="L19" s="19"/>
      <c r="M19" s="19"/>
      <c r="N19" s="19"/>
      <c r="O19" s="19"/>
      <c r="P19" s="20"/>
    </row>
    <row r="20" spans="1:16" x14ac:dyDescent="0.25">
      <c r="A20" s="1">
        <v>26.995000000000001</v>
      </c>
      <c r="C20" s="2" t="s">
        <v>12</v>
      </c>
      <c r="D20" s="2">
        <f>0.5*(B9+1)</f>
        <v>9</v>
      </c>
      <c r="E20" s="5" t="s">
        <v>15</v>
      </c>
      <c r="F20" s="6">
        <f>Tabla1[[#This Row],[Datos]]</f>
        <v>26.995000000000001</v>
      </c>
      <c r="G20" s="19"/>
      <c r="H20" s="19"/>
      <c r="I20" s="20"/>
      <c r="J20" s="31"/>
      <c r="K20" s="32"/>
      <c r="L20" s="19"/>
      <c r="M20" s="19"/>
      <c r="N20" s="19"/>
      <c r="O20" s="19"/>
      <c r="P20" s="20"/>
    </row>
    <row r="21" spans="1:16" x14ac:dyDescent="0.25">
      <c r="A21" s="1">
        <v>28.905000000000001</v>
      </c>
      <c r="C21" s="2" t="s">
        <v>13</v>
      </c>
      <c r="D21" s="2">
        <f>0.75*(B9+1)</f>
        <v>13.5</v>
      </c>
      <c r="E21" s="7" t="s">
        <v>16</v>
      </c>
      <c r="F21" s="8">
        <f>A24+(A25-A24)*0.5</f>
        <v>34.83</v>
      </c>
      <c r="G21" s="19"/>
      <c r="H21" s="19"/>
      <c r="I21" s="20"/>
      <c r="J21" s="31"/>
      <c r="K21" s="32"/>
      <c r="L21" s="19"/>
      <c r="M21" s="19"/>
      <c r="N21" s="19"/>
      <c r="O21" s="19"/>
      <c r="P21" s="20"/>
    </row>
    <row r="22" spans="1:16" x14ac:dyDescent="0.25">
      <c r="A22" s="1">
        <v>31.05</v>
      </c>
      <c r="C22" s="21"/>
      <c r="D22" s="19"/>
      <c r="E22" s="19"/>
      <c r="F22" s="19"/>
      <c r="G22" s="19"/>
      <c r="H22" s="19"/>
      <c r="I22" s="20"/>
      <c r="J22" s="31"/>
      <c r="K22" s="32"/>
      <c r="L22" s="19"/>
      <c r="M22" s="19"/>
      <c r="N22" s="19"/>
      <c r="O22" s="19"/>
      <c r="P22" s="20"/>
    </row>
    <row r="23" spans="1:16" x14ac:dyDescent="0.25">
      <c r="A23" s="1">
        <v>33.417999999999999</v>
      </c>
      <c r="C23" s="10" t="s">
        <v>17</v>
      </c>
      <c r="D23" s="10">
        <f>A28-A12</f>
        <v>15.853000000000002</v>
      </c>
      <c r="E23" s="19"/>
      <c r="F23" s="19"/>
      <c r="G23" s="19"/>
      <c r="H23" s="19"/>
      <c r="I23" s="20"/>
      <c r="J23" s="21"/>
      <c r="K23" s="19"/>
      <c r="L23" s="19"/>
      <c r="M23" s="19"/>
      <c r="N23" s="19"/>
      <c r="O23" s="19"/>
      <c r="P23" s="20"/>
    </row>
    <row r="24" spans="1:16" x14ac:dyDescent="0.25">
      <c r="A24" s="1">
        <v>34.49</v>
      </c>
      <c r="C24" s="10" t="s">
        <v>18</v>
      </c>
      <c r="D24" s="10">
        <f>(SUM(A31:A47)-(B9*(E12^2)))/B9-1</f>
        <v>29.519850442906854</v>
      </c>
      <c r="E24" s="19"/>
      <c r="F24" s="19"/>
      <c r="G24" s="19"/>
      <c r="H24" s="19"/>
      <c r="I24" s="20"/>
      <c r="J24" s="21"/>
      <c r="K24" s="19"/>
      <c r="L24" s="19"/>
      <c r="M24" s="19"/>
      <c r="N24" s="19"/>
      <c r="O24" s="19"/>
      <c r="P24" s="20"/>
    </row>
    <row r="25" spans="1:16" ht="18.75" x14ac:dyDescent="0.3">
      <c r="A25" s="1">
        <v>35.17</v>
      </c>
      <c r="C25" s="11" t="s">
        <v>20</v>
      </c>
      <c r="D25" s="75">
        <f>SQRT(D24)</f>
        <v>5.4332173196833251</v>
      </c>
      <c r="E25" s="22" t="s">
        <v>24</v>
      </c>
      <c r="F25" s="23"/>
      <c r="G25" s="19"/>
      <c r="H25" s="19"/>
      <c r="I25" s="20"/>
      <c r="J25" s="21"/>
      <c r="K25" s="19"/>
      <c r="L25" s="19"/>
      <c r="M25" s="19"/>
      <c r="N25" s="19"/>
      <c r="O25" s="19"/>
      <c r="P25" s="20"/>
    </row>
    <row r="26" spans="1:16" ht="15.75" x14ac:dyDescent="0.25">
      <c r="A26" s="1">
        <v>35.360999999999997</v>
      </c>
      <c r="C26" s="12" t="s">
        <v>21</v>
      </c>
      <c r="D26" s="76"/>
      <c r="E26" s="19"/>
      <c r="F26" s="19"/>
      <c r="G26" s="19"/>
      <c r="H26" s="19"/>
      <c r="I26" s="20"/>
      <c r="J26" s="21"/>
      <c r="K26" s="19"/>
      <c r="L26" s="19"/>
      <c r="M26" s="19"/>
      <c r="N26" s="19"/>
      <c r="O26" s="19"/>
      <c r="P26" s="20"/>
    </row>
    <row r="27" spans="1:16" x14ac:dyDescent="0.25">
      <c r="A27" s="1">
        <v>35.567</v>
      </c>
      <c r="C27" s="13" t="s">
        <v>22</v>
      </c>
      <c r="D27" s="75">
        <f>(D25/E12)*100</f>
        <v>19.117385967901257</v>
      </c>
      <c r="E27" s="19"/>
      <c r="F27" s="19"/>
      <c r="G27" s="19"/>
      <c r="H27" s="19"/>
      <c r="I27" s="26" t="s">
        <v>34</v>
      </c>
      <c r="J27" s="21"/>
      <c r="K27" s="19"/>
      <c r="L27" s="19"/>
      <c r="M27" s="19"/>
      <c r="N27" s="19"/>
      <c r="O27" s="19"/>
      <c r="P27" s="26" t="s">
        <v>36</v>
      </c>
    </row>
    <row r="28" spans="1:16" x14ac:dyDescent="0.25">
      <c r="A28" s="1">
        <v>36.448</v>
      </c>
      <c r="C28" s="14" t="s">
        <v>23</v>
      </c>
      <c r="D28" s="76"/>
      <c r="E28" s="24"/>
      <c r="F28" s="24"/>
      <c r="G28" s="24"/>
      <c r="H28" s="24"/>
      <c r="I28" s="25"/>
      <c r="J28" s="30"/>
      <c r="K28" s="24"/>
      <c r="L28" s="24"/>
      <c r="M28" s="24"/>
      <c r="N28" s="24"/>
      <c r="O28" s="24"/>
      <c r="P28" s="25"/>
    </row>
    <row r="29" spans="1:16" x14ac:dyDescent="0.25">
      <c r="C29" s="27"/>
      <c r="D29" s="28"/>
      <c r="E29" s="28"/>
      <c r="F29" s="28"/>
      <c r="G29" s="28"/>
      <c r="H29" s="28"/>
      <c r="I29" s="29"/>
      <c r="J29" s="27"/>
      <c r="K29" s="28"/>
      <c r="L29" s="29"/>
    </row>
    <row r="30" spans="1:16" ht="15.75" x14ac:dyDescent="0.25">
      <c r="A30" t="s">
        <v>19</v>
      </c>
      <c r="C30" s="15" t="s">
        <v>26</v>
      </c>
      <c r="D30" s="15">
        <f>(3*(E12-E13))/D25</f>
        <v>0.78698901614897798</v>
      </c>
      <c r="E30" s="68" t="s">
        <v>30</v>
      </c>
      <c r="F30" s="69"/>
      <c r="G30" s="19"/>
      <c r="H30" s="19"/>
      <c r="I30" s="20"/>
      <c r="J30" s="21"/>
      <c r="K30" s="19"/>
      <c r="L30" s="20"/>
    </row>
    <row r="31" spans="1:16" x14ac:dyDescent="0.25">
      <c r="A31">
        <f>A12^2</f>
        <v>424.15402499999993</v>
      </c>
      <c r="C31" s="15" t="s">
        <v>29</v>
      </c>
      <c r="D31" s="15">
        <f>(F21-F19)/(2*(C7-C8))</f>
        <v>0.38633006579830803</v>
      </c>
      <c r="E31" s="19"/>
      <c r="F31" s="19"/>
      <c r="G31" s="19"/>
      <c r="H31" s="19"/>
      <c r="I31" s="26" t="s">
        <v>35</v>
      </c>
      <c r="J31" s="21"/>
      <c r="K31" s="19"/>
      <c r="L31" s="20"/>
    </row>
    <row r="32" spans="1:16" x14ac:dyDescent="0.25">
      <c r="A32">
        <f t="shared" ref="A32:A47" si="0">A13^2</f>
        <v>467.94342400000005</v>
      </c>
      <c r="C32" s="30"/>
      <c r="D32" s="24"/>
      <c r="E32" s="24"/>
      <c r="F32" s="24"/>
      <c r="G32" s="24"/>
      <c r="H32" s="24"/>
      <c r="I32" s="25"/>
      <c r="J32" s="30"/>
      <c r="K32" s="24"/>
      <c r="L32" s="25"/>
    </row>
    <row r="33" spans="1:14" ht="15.75" x14ac:dyDescent="0.25">
      <c r="A33">
        <f t="shared" si="0"/>
        <v>479.91664900000001</v>
      </c>
      <c r="C33" s="45" t="s">
        <v>37</v>
      </c>
      <c r="D33" s="28"/>
      <c r="E33" s="28"/>
      <c r="F33" s="28"/>
      <c r="G33" s="28"/>
      <c r="H33" s="28"/>
      <c r="I33" s="28"/>
      <c r="J33" s="28"/>
      <c r="K33" s="28"/>
      <c r="L33" s="29"/>
    </row>
    <row r="34" spans="1:14" x14ac:dyDescent="0.25">
      <c r="A34">
        <f t="shared" si="0"/>
        <v>524.59321599999998</v>
      </c>
      <c r="C34" s="21"/>
      <c r="D34" s="19"/>
      <c r="E34" s="19"/>
      <c r="F34" s="19"/>
      <c r="G34" s="19"/>
      <c r="H34" s="19"/>
      <c r="I34" s="19"/>
      <c r="J34" s="19"/>
      <c r="K34" s="19"/>
      <c r="L34" s="20"/>
    </row>
    <row r="35" spans="1:14" x14ac:dyDescent="0.25">
      <c r="A35">
        <f t="shared" si="0"/>
        <v>563.58759999999995</v>
      </c>
      <c r="C35" s="21" t="s">
        <v>2</v>
      </c>
      <c r="D35" s="19">
        <v>17</v>
      </c>
      <c r="E35" s="19"/>
      <c r="F35" s="19"/>
      <c r="G35" s="19"/>
      <c r="H35" s="19"/>
      <c r="I35" s="19"/>
      <c r="J35" s="19"/>
      <c r="K35" s="19"/>
      <c r="L35" s="20"/>
    </row>
    <row r="36" spans="1:14" x14ac:dyDescent="0.25">
      <c r="A36">
        <f t="shared" si="0"/>
        <v>592.63033600000006</v>
      </c>
      <c r="C36" s="21" t="s">
        <v>38</v>
      </c>
      <c r="D36" s="19">
        <f>1+3.3*LOG(D35)</f>
        <v>5.0604814405483038</v>
      </c>
      <c r="E36" s="19">
        <v>5</v>
      </c>
      <c r="F36" s="19"/>
      <c r="G36" s="19"/>
      <c r="H36" s="19"/>
      <c r="I36" s="19"/>
      <c r="J36" s="19"/>
      <c r="K36" s="19"/>
      <c r="L36" s="20"/>
    </row>
    <row r="37" spans="1:14" x14ac:dyDescent="0.25">
      <c r="A37">
        <f t="shared" si="0"/>
        <v>614.49452100000008</v>
      </c>
      <c r="C37" s="21" t="s">
        <v>39</v>
      </c>
      <c r="D37" s="19">
        <f>(A28-A12)/E36</f>
        <v>3.1706000000000003</v>
      </c>
      <c r="E37" s="19">
        <v>4</v>
      </c>
      <c r="F37" s="19"/>
      <c r="G37" s="19"/>
      <c r="H37" s="19"/>
      <c r="I37" s="19"/>
      <c r="J37" s="19"/>
      <c r="K37" s="19"/>
      <c r="L37" s="20"/>
    </row>
    <row r="38" spans="1:14" x14ac:dyDescent="0.25">
      <c r="A38">
        <f t="shared" si="0"/>
        <v>667.18889999999988</v>
      </c>
      <c r="C38" s="21"/>
      <c r="D38" s="19"/>
      <c r="E38" s="19"/>
      <c r="F38" s="19"/>
      <c r="G38" s="19"/>
      <c r="H38" s="19"/>
      <c r="I38" s="19"/>
      <c r="J38" s="19"/>
      <c r="K38" s="19"/>
      <c r="L38" s="20"/>
    </row>
    <row r="39" spans="1:14" x14ac:dyDescent="0.25">
      <c r="A39">
        <f t="shared" si="0"/>
        <v>728.73002500000007</v>
      </c>
      <c r="C39" s="70" t="s">
        <v>40</v>
      </c>
      <c r="D39" s="71"/>
      <c r="E39" s="35" t="s">
        <v>41</v>
      </c>
      <c r="F39" s="36" t="s">
        <v>44</v>
      </c>
      <c r="G39" s="36" t="s">
        <v>44</v>
      </c>
      <c r="H39" s="36" t="s">
        <v>44</v>
      </c>
      <c r="I39" s="36" t="s">
        <v>44</v>
      </c>
      <c r="J39" s="36" t="s">
        <v>44</v>
      </c>
      <c r="K39" s="37" t="s">
        <v>44</v>
      </c>
      <c r="L39" s="20"/>
      <c r="M39" s="44"/>
      <c r="N39" s="34"/>
    </row>
    <row r="40" spans="1:14" x14ac:dyDescent="0.25">
      <c r="A40">
        <f t="shared" si="0"/>
        <v>835.49902500000007</v>
      </c>
      <c r="C40" s="72"/>
      <c r="D40" s="73"/>
      <c r="E40" s="38" t="s">
        <v>49</v>
      </c>
      <c r="F40" s="39" t="s">
        <v>42</v>
      </c>
      <c r="G40" s="39" t="s">
        <v>43</v>
      </c>
      <c r="H40" s="39" t="s">
        <v>45</v>
      </c>
      <c r="I40" s="39" t="s">
        <v>46</v>
      </c>
      <c r="J40" s="39" t="s">
        <v>47</v>
      </c>
      <c r="K40" s="40" t="s">
        <v>48</v>
      </c>
      <c r="L40" s="20"/>
      <c r="M40" s="44"/>
      <c r="N40" s="34"/>
    </row>
    <row r="41" spans="1:14" x14ac:dyDescent="0.25">
      <c r="A41">
        <f t="shared" si="0"/>
        <v>964.10250000000008</v>
      </c>
      <c r="C41" s="41">
        <f>A12</f>
        <v>20.594999999999999</v>
      </c>
      <c r="D41" s="41">
        <f>C41+$D$37</f>
        <v>23.765599999999999</v>
      </c>
      <c r="E41" s="41">
        <f>AVERAGE(C41:D41)</f>
        <v>22.180299999999999</v>
      </c>
      <c r="F41" s="41">
        <v>5</v>
      </c>
      <c r="G41" s="41">
        <f>F41</f>
        <v>5</v>
      </c>
      <c r="H41" s="41">
        <f>F41/$D$35</f>
        <v>0.29411764705882354</v>
      </c>
      <c r="I41" s="41">
        <f>G41/$D$35</f>
        <v>0.29411764705882354</v>
      </c>
      <c r="J41" s="41">
        <f>H41*100</f>
        <v>29.411764705882355</v>
      </c>
      <c r="K41" s="41">
        <f>I41*100</f>
        <v>29.411764705882355</v>
      </c>
      <c r="L41" s="20"/>
      <c r="M41" s="44"/>
      <c r="N41" s="34"/>
    </row>
    <row r="42" spans="1:14" x14ac:dyDescent="0.25">
      <c r="A42">
        <f t="shared" si="0"/>
        <v>1116.7627239999999</v>
      </c>
      <c r="C42" s="41">
        <f>D41</f>
        <v>23.765599999999999</v>
      </c>
      <c r="D42" s="41">
        <f>C42+$D$37</f>
        <v>26.936199999999999</v>
      </c>
      <c r="E42" s="41">
        <f t="shared" ref="E42:E45" si="1">AVERAGE(C42:D42)</f>
        <v>25.350899999999999</v>
      </c>
      <c r="F42" s="41">
        <v>3</v>
      </c>
      <c r="G42" s="41">
        <f>G41+F42</f>
        <v>8</v>
      </c>
      <c r="H42" s="41">
        <f t="shared" ref="H42:H44" si="2">F42/$D$35</f>
        <v>0.17647058823529413</v>
      </c>
      <c r="I42" s="41">
        <f t="shared" ref="I42:I45" si="3">G42/$D$35</f>
        <v>0.47058823529411764</v>
      </c>
      <c r="J42" s="41">
        <f t="shared" ref="J42:J45" si="4">H42*100</f>
        <v>17.647058823529413</v>
      </c>
      <c r="K42" s="41">
        <f t="shared" ref="K42:K45" si="5">I42*100</f>
        <v>47.058823529411761</v>
      </c>
      <c r="L42" s="20"/>
      <c r="M42" s="44"/>
      <c r="N42" s="34"/>
    </row>
    <row r="43" spans="1:14" x14ac:dyDescent="0.25">
      <c r="A43">
        <f t="shared" si="0"/>
        <v>1189.5601000000001</v>
      </c>
      <c r="C43" s="41">
        <f>D42</f>
        <v>26.936199999999999</v>
      </c>
      <c r="D43" s="41">
        <f t="shared" ref="D43:D44" si="6">C43+$D$37</f>
        <v>30.1068</v>
      </c>
      <c r="E43" s="41">
        <f t="shared" si="1"/>
        <v>28.5215</v>
      </c>
      <c r="F43" s="41">
        <v>2</v>
      </c>
      <c r="G43" s="41">
        <f>G42+F43</f>
        <v>10</v>
      </c>
      <c r="H43" s="41">
        <f t="shared" si="2"/>
        <v>0.11764705882352941</v>
      </c>
      <c r="I43" s="41">
        <f t="shared" si="3"/>
        <v>0.58823529411764708</v>
      </c>
      <c r="J43" s="41">
        <f t="shared" si="4"/>
        <v>11.76470588235294</v>
      </c>
      <c r="K43" s="41">
        <f t="shared" si="5"/>
        <v>58.82352941176471</v>
      </c>
      <c r="L43" s="20"/>
      <c r="M43" s="44"/>
      <c r="N43" s="34"/>
    </row>
    <row r="44" spans="1:14" x14ac:dyDescent="0.25">
      <c r="A44">
        <f t="shared" si="0"/>
        <v>1236.9289000000001</v>
      </c>
      <c r="C44" s="41">
        <f t="shared" ref="C44:C45" si="7">D43</f>
        <v>30.1068</v>
      </c>
      <c r="D44" s="41">
        <f t="shared" si="6"/>
        <v>33.2774</v>
      </c>
      <c r="E44" s="41">
        <f t="shared" si="1"/>
        <v>31.6921</v>
      </c>
      <c r="F44" s="41">
        <v>1</v>
      </c>
      <c r="G44" s="41">
        <f t="shared" ref="G44:G45" si="8">G43+F44</f>
        <v>11</v>
      </c>
      <c r="H44" s="41">
        <f t="shared" si="2"/>
        <v>5.8823529411764705E-2</v>
      </c>
      <c r="I44" s="41">
        <f>G44/$D$35</f>
        <v>0.6470588235294118</v>
      </c>
      <c r="J44" s="41">
        <f t="shared" si="4"/>
        <v>5.8823529411764701</v>
      </c>
      <c r="K44" s="41">
        <f t="shared" si="5"/>
        <v>64.705882352941174</v>
      </c>
      <c r="L44" s="20"/>
      <c r="M44" s="44"/>
      <c r="N44" s="34"/>
    </row>
    <row r="45" spans="1:14" x14ac:dyDescent="0.25">
      <c r="A45">
        <f t="shared" si="0"/>
        <v>1250.4003209999998</v>
      </c>
      <c r="C45" s="41">
        <f t="shared" si="7"/>
        <v>33.2774</v>
      </c>
      <c r="D45" s="42">
        <f>C45+$D$37</f>
        <v>36.448</v>
      </c>
      <c r="E45" s="41">
        <f t="shared" si="1"/>
        <v>34.862700000000004</v>
      </c>
      <c r="F45" s="41">
        <v>6</v>
      </c>
      <c r="G45" s="41">
        <f t="shared" si="8"/>
        <v>17</v>
      </c>
      <c r="H45" s="41">
        <f>F45/$D$35</f>
        <v>0.35294117647058826</v>
      </c>
      <c r="I45" s="41">
        <f t="shared" si="3"/>
        <v>1</v>
      </c>
      <c r="J45" s="41">
        <f t="shared" si="4"/>
        <v>35.294117647058826</v>
      </c>
      <c r="K45" s="41">
        <f t="shared" si="5"/>
        <v>100</v>
      </c>
      <c r="L45" s="20"/>
      <c r="M45" s="44"/>
      <c r="N45" s="34"/>
    </row>
    <row r="46" spans="1:14" x14ac:dyDescent="0.25">
      <c r="A46">
        <f t="shared" si="0"/>
        <v>1265.011489</v>
      </c>
      <c r="C46" s="21"/>
      <c r="D46" s="19"/>
      <c r="E46" s="19"/>
      <c r="F46" s="43">
        <f>SUM(F41:F45)</f>
        <v>17</v>
      </c>
      <c r="G46" s="19"/>
      <c r="H46" s="43">
        <f>SUM(H41:H45)</f>
        <v>1</v>
      </c>
      <c r="I46" s="19"/>
      <c r="J46" s="19"/>
      <c r="K46" s="19"/>
      <c r="L46" s="20"/>
      <c r="M46" s="44"/>
      <c r="N46" s="34"/>
    </row>
    <row r="47" spans="1:14" x14ac:dyDescent="0.25">
      <c r="A47">
        <f t="shared" si="0"/>
        <v>1328.4567039999999</v>
      </c>
      <c r="C47" s="21"/>
      <c r="D47" s="19"/>
      <c r="E47" s="19"/>
      <c r="F47" s="19"/>
      <c r="G47" s="19"/>
      <c r="H47" s="19"/>
      <c r="I47" s="19"/>
      <c r="J47" s="19"/>
      <c r="K47" s="19"/>
      <c r="L47" s="26" t="s">
        <v>50</v>
      </c>
      <c r="M47" s="44"/>
      <c r="N47" s="34"/>
    </row>
    <row r="48" spans="1:14" x14ac:dyDescent="0.25">
      <c r="C48" s="30"/>
      <c r="D48" s="24"/>
      <c r="E48" s="24"/>
      <c r="F48" s="24"/>
      <c r="G48" s="24"/>
      <c r="H48" s="24"/>
      <c r="I48" s="24"/>
      <c r="J48" s="24"/>
      <c r="K48" s="24"/>
      <c r="L48" s="25"/>
      <c r="M48" s="44"/>
      <c r="N48" s="34"/>
    </row>
    <row r="49" spans="3:14" ht="15.75" x14ac:dyDescent="0.25">
      <c r="C49" s="46" t="s">
        <v>57</v>
      </c>
      <c r="D49" s="28"/>
      <c r="E49" s="28"/>
      <c r="F49" s="9" t="s">
        <v>40</v>
      </c>
      <c r="G49" s="9" t="s">
        <v>56</v>
      </c>
      <c r="H49" s="28"/>
      <c r="I49" s="28"/>
      <c r="J49" s="28"/>
      <c r="K49" s="28"/>
      <c r="L49" s="29"/>
      <c r="M49" s="44"/>
      <c r="N49" s="34"/>
    </row>
    <row r="50" spans="3:14" x14ac:dyDescent="0.25">
      <c r="C50" s="21"/>
      <c r="D50" s="19"/>
      <c r="E50" s="19"/>
      <c r="F50" s="9" t="s">
        <v>51</v>
      </c>
      <c r="G50" s="9">
        <v>5</v>
      </c>
      <c r="H50" s="19"/>
      <c r="I50" s="19"/>
      <c r="J50" s="19"/>
      <c r="K50" s="19"/>
      <c r="L50" s="20"/>
      <c r="M50" s="44"/>
      <c r="N50" s="34"/>
    </row>
    <row r="51" spans="3:14" x14ac:dyDescent="0.25">
      <c r="C51" s="21"/>
      <c r="D51" s="19"/>
      <c r="E51" s="19"/>
      <c r="F51" s="9" t="s">
        <v>52</v>
      </c>
      <c r="G51" s="9">
        <v>3</v>
      </c>
      <c r="H51" s="19"/>
      <c r="I51" s="19"/>
      <c r="J51" s="19"/>
      <c r="K51" s="19"/>
      <c r="L51" s="20"/>
      <c r="M51" s="44"/>
      <c r="N51" s="34"/>
    </row>
    <row r="52" spans="3:14" x14ac:dyDescent="0.25">
      <c r="C52" s="21"/>
      <c r="D52" s="19"/>
      <c r="E52" s="19"/>
      <c r="F52" s="9" t="s">
        <v>53</v>
      </c>
      <c r="G52" s="9">
        <v>2</v>
      </c>
      <c r="H52" s="19"/>
      <c r="I52" s="19"/>
      <c r="J52" s="19"/>
      <c r="K52" s="19"/>
      <c r="L52" s="20"/>
      <c r="M52" s="44"/>
      <c r="N52" s="34"/>
    </row>
    <row r="53" spans="3:14" x14ac:dyDescent="0.25">
      <c r="C53" s="21"/>
      <c r="D53" s="19"/>
      <c r="E53" s="19"/>
      <c r="F53" s="9" t="s">
        <v>54</v>
      </c>
      <c r="G53" s="9">
        <v>1</v>
      </c>
      <c r="H53" s="19"/>
      <c r="I53" s="19"/>
      <c r="J53" s="19"/>
      <c r="K53" s="19"/>
      <c r="L53" s="20"/>
      <c r="M53" s="44"/>
      <c r="N53" s="34"/>
    </row>
    <row r="54" spans="3:14" x14ac:dyDescent="0.25">
      <c r="C54" s="21"/>
      <c r="D54" s="19"/>
      <c r="E54" s="19"/>
      <c r="F54" s="9" t="s">
        <v>55</v>
      </c>
      <c r="G54" s="9">
        <v>6</v>
      </c>
      <c r="H54" s="19"/>
      <c r="I54" s="19"/>
      <c r="J54" s="19"/>
      <c r="K54" s="19"/>
      <c r="L54" s="20"/>
      <c r="M54" s="44"/>
      <c r="N54" s="34"/>
    </row>
    <row r="55" spans="3:14" x14ac:dyDescent="0.25">
      <c r="C55" s="21"/>
      <c r="D55" s="19"/>
      <c r="E55" s="19"/>
      <c r="F55" s="19"/>
      <c r="G55" s="19"/>
      <c r="H55" s="19"/>
      <c r="I55" s="19"/>
      <c r="J55" s="19"/>
      <c r="K55" s="19"/>
      <c r="L55" s="20"/>
      <c r="M55" s="44"/>
      <c r="N55" s="34"/>
    </row>
    <row r="56" spans="3:14" x14ac:dyDescent="0.25">
      <c r="C56" s="21"/>
      <c r="D56" s="19"/>
      <c r="E56" s="19"/>
      <c r="F56" s="19"/>
      <c r="G56" s="19"/>
      <c r="H56" s="19"/>
      <c r="I56" s="19"/>
      <c r="J56" s="19"/>
      <c r="K56" s="19"/>
      <c r="L56" s="20"/>
    </row>
    <row r="57" spans="3:14" x14ac:dyDescent="0.25">
      <c r="C57" s="21"/>
      <c r="D57" s="19"/>
      <c r="E57" s="19"/>
      <c r="F57" s="19"/>
      <c r="G57" s="19"/>
      <c r="H57" s="19"/>
      <c r="I57" s="19"/>
      <c r="J57" s="19"/>
      <c r="K57" s="19"/>
      <c r="L57" s="20"/>
    </row>
    <row r="58" spans="3:14" x14ac:dyDescent="0.25">
      <c r="C58" s="21"/>
      <c r="D58" s="19"/>
      <c r="E58" s="19"/>
      <c r="F58" s="19"/>
      <c r="G58" s="19"/>
      <c r="H58" s="19"/>
      <c r="I58" s="19"/>
      <c r="J58" s="19"/>
      <c r="K58" s="19"/>
      <c r="L58" s="20"/>
    </row>
    <row r="59" spans="3:14" x14ac:dyDescent="0.25">
      <c r="C59" s="21"/>
      <c r="D59" s="19"/>
      <c r="E59" s="19"/>
      <c r="F59" s="19"/>
      <c r="G59" s="19"/>
      <c r="H59" s="19"/>
      <c r="I59" s="19"/>
      <c r="J59" s="19"/>
      <c r="K59" s="19"/>
      <c r="L59" s="20"/>
    </row>
    <row r="60" spans="3:14" x14ac:dyDescent="0.25">
      <c r="C60" s="21"/>
      <c r="D60" s="19"/>
      <c r="E60" s="19"/>
      <c r="F60" s="19"/>
      <c r="G60" s="19"/>
      <c r="H60" s="19"/>
      <c r="I60" s="19"/>
      <c r="J60" s="19"/>
      <c r="K60" s="19"/>
      <c r="L60" s="20"/>
    </row>
    <row r="61" spans="3:14" x14ac:dyDescent="0.25">
      <c r="C61" s="21"/>
      <c r="D61" s="19"/>
      <c r="E61" s="19"/>
      <c r="F61" s="19"/>
      <c r="G61" s="19"/>
      <c r="H61" s="19"/>
      <c r="I61" s="19"/>
      <c r="J61" s="19"/>
      <c r="K61" s="19"/>
      <c r="L61" s="20"/>
    </row>
    <row r="62" spans="3:14" x14ac:dyDescent="0.25">
      <c r="C62" s="21"/>
      <c r="D62" s="19"/>
      <c r="E62" s="19"/>
      <c r="F62" s="19"/>
      <c r="G62" s="19"/>
      <c r="H62" s="19"/>
      <c r="I62" s="19"/>
      <c r="J62" s="19"/>
      <c r="K62" s="19"/>
      <c r="L62" s="20"/>
    </row>
    <row r="63" spans="3:14" ht="15.75" x14ac:dyDescent="0.25">
      <c r="C63" s="47" t="s">
        <v>58</v>
      </c>
      <c r="D63" s="19"/>
      <c r="E63" s="19"/>
      <c r="F63" s="19"/>
      <c r="G63" s="19"/>
      <c r="H63" s="19"/>
      <c r="I63" s="19"/>
      <c r="J63" s="19"/>
      <c r="K63" s="19"/>
      <c r="L63" s="20"/>
    </row>
    <row r="64" spans="3:14" x14ac:dyDescent="0.25">
      <c r="C64" s="21"/>
      <c r="D64" s="19"/>
      <c r="E64" s="19"/>
      <c r="F64" s="19"/>
      <c r="G64" s="19"/>
      <c r="H64" s="19"/>
      <c r="I64" s="19"/>
      <c r="J64" s="19"/>
      <c r="K64" s="19"/>
      <c r="L64" s="20"/>
    </row>
    <row r="65" spans="3:12" x14ac:dyDescent="0.25">
      <c r="C65" s="21"/>
      <c r="D65" s="19"/>
      <c r="E65" s="19"/>
      <c r="F65" s="19"/>
      <c r="G65" s="19"/>
      <c r="H65" s="19"/>
      <c r="I65" s="19"/>
      <c r="J65" s="19"/>
      <c r="K65" s="19"/>
      <c r="L65" s="20"/>
    </row>
    <row r="66" spans="3:12" x14ac:dyDescent="0.25">
      <c r="C66" s="21"/>
      <c r="D66" s="19"/>
      <c r="E66" s="19"/>
      <c r="F66" s="19"/>
      <c r="G66" s="19"/>
      <c r="H66" s="19"/>
      <c r="I66" s="19"/>
      <c r="J66" s="19"/>
      <c r="K66" s="19"/>
      <c r="L66" s="20"/>
    </row>
    <row r="67" spans="3:12" x14ac:dyDescent="0.25">
      <c r="C67" s="21"/>
      <c r="D67" s="19"/>
      <c r="E67" s="19"/>
      <c r="F67" s="19"/>
      <c r="G67" s="19"/>
      <c r="H67" s="19"/>
      <c r="I67" s="19"/>
      <c r="J67" s="19"/>
      <c r="K67" s="19"/>
      <c r="L67" s="20"/>
    </row>
    <row r="68" spans="3:12" x14ac:dyDescent="0.25">
      <c r="C68" s="21"/>
      <c r="D68" s="19"/>
      <c r="E68" s="19"/>
      <c r="F68" s="19"/>
      <c r="G68" s="19"/>
      <c r="H68" s="19"/>
      <c r="I68" s="19"/>
      <c r="J68" s="19"/>
      <c r="K68" s="19"/>
      <c r="L68" s="20"/>
    </row>
    <row r="69" spans="3:12" x14ac:dyDescent="0.25">
      <c r="C69" s="21"/>
      <c r="D69" s="19"/>
      <c r="E69" s="19"/>
      <c r="F69" s="19"/>
      <c r="G69" s="19"/>
      <c r="H69" s="19"/>
      <c r="I69" s="19"/>
      <c r="J69" s="19"/>
      <c r="K69" s="19"/>
      <c r="L69" s="20"/>
    </row>
    <row r="70" spans="3:12" x14ac:dyDescent="0.25">
      <c r="C70" s="21"/>
      <c r="D70" s="19"/>
      <c r="E70" s="19"/>
      <c r="F70" s="19"/>
      <c r="G70" s="19"/>
      <c r="H70" s="19"/>
      <c r="I70" s="19"/>
      <c r="J70" s="19"/>
      <c r="K70" s="19"/>
      <c r="L70" s="20"/>
    </row>
    <row r="71" spans="3:12" x14ac:dyDescent="0.25">
      <c r="C71" s="21"/>
      <c r="D71" s="19"/>
      <c r="E71" s="19"/>
      <c r="F71" s="19"/>
      <c r="G71" s="19"/>
      <c r="H71" s="19"/>
      <c r="I71" s="19"/>
      <c r="J71" s="19"/>
      <c r="K71" s="19"/>
      <c r="L71" s="20"/>
    </row>
    <row r="72" spans="3:12" x14ac:dyDescent="0.25">
      <c r="C72" s="21"/>
      <c r="D72" s="19"/>
      <c r="E72" s="19"/>
      <c r="F72" s="19"/>
      <c r="G72" s="19"/>
      <c r="H72" s="19"/>
      <c r="I72" s="19"/>
      <c r="J72" s="19"/>
      <c r="K72" s="19"/>
      <c r="L72" s="20"/>
    </row>
    <row r="73" spans="3:12" x14ac:dyDescent="0.25">
      <c r="C73" s="21"/>
      <c r="D73" s="19"/>
      <c r="E73" s="19"/>
      <c r="F73" s="19"/>
      <c r="G73" s="19"/>
      <c r="H73" s="19"/>
      <c r="I73" s="19"/>
      <c r="J73" s="19"/>
      <c r="K73" s="19"/>
      <c r="L73" s="20"/>
    </row>
    <row r="74" spans="3:12" x14ac:dyDescent="0.25">
      <c r="C74" s="21"/>
      <c r="D74" s="19"/>
      <c r="E74" s="19"/>
      <c r="F74" s="19"/>
      <c r="G74" s="19"/>
      <c r="H74" s="19"/>
      <c r="I74" s="19"/>
      <c r="J74" s="19"/>
      <c r="K74" s="19"/>
      <c r="L74" s="20"/>
    </row>
    <row r="75" spans="3:12" ht="15.75" x14ac:dyDescent="0.25">
      <c r="C75" s="47" t="s">
        <v>59</v>
      </c>
      <c r="D75" s="19"/>
      <c r="E75" s="19"/>
      <c r="F75" s="9" t="s">
        <v>40</v>
      </c>
      <c r="G75" s="9" t="s">
        <v>60</v>
      </c>
      <c r="H75" s="19"/>
      <c r="I75" s="19"/>
      <c r="J75" s="19"/>
      <c r="K75" s="19"/>
      <c r="L75" s="20"/>
    </row>
    <row r="76" spans="3:12" x14ac:dyDescent="0.25">
      <c r="C76" s="21"/>
      <c r="D76" s="19"/>
      <c r="E76" s="19"/>
      <c r="F76" s="9" t="s">
        <v>51</v>
      </c>
      <c r="G76" s="9">
        <v>29.411764699999999</v>
      </c>
      <c r="H76" s="19"/>
      <c r="I76" s="19"/>
      <c r="J76" s="19"/>
      <c r="K76" s="19"/>
      <c r="L76" s="20"/>
    </row>
    <row r="77" spans="3:12" x14ac:dyDescent="0.25">
      <c r="C77" s="21"/>
      <c r="D77" s="19"/>
      <c r="E77" s="19"/>
      <c r="F77" s="9" t="s">
        <v>52</v>
      </c>
      <c r="G77" s="9">
        <v>17.6470588</v>
      </c>
      <c r="H77" s="19"/>
      <c r="I77" s="19"/>
      <c r="J77" s="19"/>
      <c r="K77" s="19"/>
      <c r="L77" s="20"/>
    </row>
    <row r="78" spans="3:12" x14ac:dyDescent="0.25">
      <c r="C78" s="21"/>
      <c r="D78" s="19"/>
      <c r="E78" s="19"/>
      <c r="F78" s="9" t="s">
        <v>53</v>
      </c>
      <c r="G78" s="9">
        <v>11.764705899999999</v>
      </c>
      <c r="H78" s="19"/>
      <c r="I78" s="19"/>
      <c r="J78" s="19"/>
      <c r="K78" s="19"/>
      <c r="L78" s="20"/>
    </row>
    <row r="79" spans="3:12" x14ac:dyDescent="0.25">
      <c r="C79" s="21"/>
      <c r="D79" s="19"/>
      <c r="E79" s="19"/>
      <c r="F79" s="9" t="s">
        <v>54</v>
      </c>
      <c r="G79" s="9">
        <v>5.8823599399999997</v>
      </c>
      <c r="H79" s="19"/>
      <c r="I79" s="19"/>
      <c r="J79" s="19"/>
      <c r="K79" s="19"/>
      <c r="L79" s="20"/>
    </row>
    <row r="80" spans="3:12" x14ac:dyDescent="0.25">
      <c r="C80" s="21"/>
      <c r="D80" s="19"/>
      <c r="E80" s="19"/>
      <c r="F80" s="9" t="s">
        <v>55</v>
      </c>
      <c r="G80" s="9">
        <v>35.2941176</v>
      </c>
      <c r="H80" s="19"/>
      <c r="I80" s="19"/>
      <c r="J80" s="19"/>
      <c r="K80" s="19"/>
      <c r="L80" s="20"/>
    </row>
    <row r="81" spans="3:12" x14ac:dyDescent="0.25">
      <c r="C81" s="21"/>
      <c r="D81" s="19"/>
      <c r="E81" s="19"/>
      <c r="F81" s="19"/>
      <c r="G81" s="19"/>
      <c r="H81" s="19"/>
      <c r="I81" s="19"/>
      <c r="J81" s="19"/>
      <c r="K81" s="19"/>
      <c r="L81" s="20"/>
    </row>
    <row r="82" spans="3:12" x14ac:dyDescent="0.25">
      <c r="C82" s="21"/>
      <c r="D82" s="19"/>
      <c r="E82" s="19"/>
      <c r="F82" s="19"/>
      <c r="G82" s="19"/>
      <c r="H82" s="19"/>
      <c r="I82" s="19"/>
      <c r="J82" s="19"/>
      <c r="K82" s="19"/>
      <c r="L82" s="20"/>
    </row>
    <row r="83" spans="3:12" x14ac:dyDescent="0.25">
      <c r="C83" s="21"/>
      <c r="D83" s="19"/>
      <c r="E83" s="19"/>
      <c r="F83" s="19"/>
      <c r="G83" s="19"/>
      <c r="H83" s="19"/>
      <c r="I83" s="19"/>
      <c r="J83" s="19"/>
      <c r="K83" s="19"/>
      <c r="L83" s="20"/>
    </row>
    <row r="84" spans="3:12" x14ac:dyDescent="0.25">
      <c r="C84" s="21"/>
      <c r="D84" s="19"/>
      <c r="E84" s="19"/>
      <c r="F84" s="19"/>
      <c r="G84" s="19"/>
      <c r="H84" s="19"/>
      <c r="I84" s="19"/>
      <c r="J84" s="19"/>
      <c r="K84" s="19"/>
      <c r="L84" s="20"/>
    </row>
    <row r="85" spans="3:12" x14ac:dyDescent="0.25">
      <c r="C85" s="21"/>
      <c r="D85" s="19"/>
      <c r="E85" s="19"/>
      <c r="F85" s="19"/>
      <c r="G85" s="19"/>
      <c r="H85" s="19"/>
      <c r="I85" s="19"/>
      <c r="J85" s="19"/>
      <c r="K85" s="19"/>
      <c r="L85" s="20"/>
    </row>
    <row r="86" spans="3:12" x14ac:dyDescent="0.25">
      <c r="C86" s="21"/>
      <c r="D86" s="19"/>
      <c r="E86" s="19"/>
      <c r="F86" s="19"/>
      <c r="G86" s="19"/>
      <c r="H86" s="19"/>
      <c r="I86" s="19"/>
      <c r="J86" s="19"/>
      <c r="K86" s="19"/>
      <c r="L86" s="20"/>
    </row>
    <row r="87" spans="3:12" ht="15.75" x14ac:dyDescent="0.25">
      <c r="C87" s="47" t="s">
        <v>61</v>
      </c>
      <c r="D87" s="19"/>
      <c r="E87" s="19"/>
      <c r="F87" s="9" t="s">
        <v>62</v>
      </c>
      <c r="G87" s="9" t="s">
        <v>63</v>
      </c>
      <c r="H87" s="19"/>
      <c r="I87" s="19"/>
      <c r="J87" s="19"/>
      <c r="K87" s="19"/>
      <c r="L87" s="20"/>
    </row>
    <row r="88" spans="3:12" x14ac:dyDescent="0.25">
      <c r="C88" s="21"/>
      <c r="D88" s="19"/>
      <c r="E88" s="19"/>
      <c r="F88" s="9">
        <v>22.180299999999999</v>
      </c>
      <c r="G88" s="9">
        <v>5</v>
      </c>
      <c r="H88" s="19"/>
      <c r="I88" s="19"/>
      <c r="J88" s="19"/>
      <c r="K88" s="19"/>
      <c r="L88" s="20"/>
    </row>
    <row r="89" spans="3:12" x14ac:dyDescent="0.25">
      <c r="C89" s="21"/>
      <c r="D89" s="19"/>
      <c r="E89" s="19"/>
      <c r="F89" s="9">
        <v>25.350899999999999</v>
      </c>
      <c r="G89" s="9">
        <v>8</v>
      </c>
      <c r="H89" s="19"/>
      <c r="I89" s="19"/>
      <c r="J89" s="19"/>
      <c r="K89" s="19"/>
      <c r="L89" s="20"/>
    </row>
    <row r="90" spans="3:12" x14ac:dyDescent="0.25">
      <c r="C90" s="21"/>
      <c r="D90" s="19"/>
      <c r="E90" s="19"/>
      <c r="F90" s="9">
        <v>28.5215</v>
      </c>
      <c r="G90" s="9">
        <v>10</v>
      </c>
      <c r="H90" s="19"/>
      <c r="I90" s="19"/>
      <c r="J90" s="19"/>
      <c r="K90" s="19"/>
      <c r="L90" s="20"/>
    </row>
    <row r="91" spans="3:12" x14ac:dyDescent="0.25">
      <c r="C91" s="21"/>
      <c r="D91" s="19"/>
      <c r="E91" s="19"/>
      <c r="F91" s="9">
        <v>31.6921</v>
      </c>
      <c r="G91" s="9">
        <v>11</v>
      </c>
      <c r="H91" s="19"/>
      <c r="I91" s="19"/>
      <c r="J91" s="19"/>
      <c r="K91" s="19"/>
      <c r="L91" s="20"/>
    </row>
    <row r="92" spans="3:12" x14ac:dyDescent="0.25">
      <c r="C92" s="21"/>
      <c r="D92" s="19"/>
      <c r="E92" s="19"/>
      <c r="F92" s="9">
        <v>34.862699999999997</v>
      </c>
      <c r="G92" s="9">
        <v>17</v>
      </c>
      <c r="H92" s="19"/>
      <c r="I92" s="19"/>
      <c r="J92" s="19"/>
      <c r="K92" s="19"/>
      <c r="L92" s="20"/>
    </row>
    <row r="93" spans="3:12" x14ac:dyDescent="0.25">
      <c r="C93" s="21"/>
      <c r="D93" s="19"/>
      <c r="E93" s="19"/>
      <c r="F93" s="19"/>
      <c r="G93" s="19"/>
      <c r="H93" s="19"/>
      <c r="I93" s="19"/>
      <c r="J93" s="19"/>
      <c r="K93" s="19"/>
      <c r="L93" s="20"/>
    </row>
    <row r="94" spans="3:12" x14ac:dyDescent="0.25">
      <c r="C94" s="21"/>
      <c r="D94" s="19"/>
      <c r="E94" s="19"/>
      <c r="F94" s="19"/>
      <c r="G94" s="19"/>
      <c r="H94" s="19"/>
      <c r="I94" s="19"/>
      <c r="J94" s="19"/>
      <c r="K94" s="19"/>
      <c r="L94" s="20"/>
    </row>
    <row r="95" spans="3:12" x14ac:dyDescent="0.25">
      <c r="C95" s="21"/>
      <c r="D95" s="19"/>
      <c r="E95" s="19"/>
      <c r="F95" s="19"/>
      <c r="G95" s="19"/>
      <c r="H95" s="19"/>
      <c r="I95" s="19"/>
      <c r="J95" s="19"/>
      <c r="K95" s="19"/>
      <c r="L95" s="20"/>
    </row>
    <row r="96" spans="3:12" x14ac:dyDescent="0.25">
      <c r="C96" s="21"/>
      <c r="D96" s="19"/>
      <c r="E96" s="19"/>
      <c r="F96" s="19"/>
      <c r="G96" s="19"/>
      <c r="H96" s="19"/>
      <c r="I96" s="19"/>
      <c r="J96" s="19"/>
      <c r="K96" s="19"/>
      <c r="L96" s="20"/>
    </row>
    <row r="97" spans="3:12" x14ac:dyDescent="0.25">
      <c r="C97" s="21"/>
      <c r="D97" s="19"/>
      <c r="E97" s="19"/>
      <c r="F97" s="19"/>
      <c r="G97" s="19"/>
      <c r="H97" s="19"/>
      <c r="I97" s="19"/>
      <c r="J97" s="19"/>
      <c r="K97" s="19"/>
      <c r="L97" s="20"/>
    </row>
    <row r="98" spans="3:12" x14ac:dyDescent="0.25">
      <c r="C98" s="21"/>
      <c r="D98" s="19"/>
      <c r="E98" s="19"/>
      <c r="F98" s="19"/>
      <c r="G98" s="19"/>
      <c r="H98" s="19"/>
      <c r="I98" s="19"/>
      <c r="J98" s="19"/>
      <c r="K98" s="19"/>
      <c r="L98" s="20"/>
    </row>
    <row r="99" spans="3:12" x14ac:dyDescent="0.25">
      <c r="C99" s="21"/>
      <c r="D99" s="19"/>
      <c r="E99" s="19"/>
      <c r="F99" s="19"/>
      <c r="G99" s="19"/>
      <c r="H99" s="19"/>
      <c r="I99" s="19"/>
      <c r="J99" s="19"/>
      <c r="K99" s="19"/>
      <c r="L99" s="20"/>
    </row>
    <row r="100" spans="3:12" x14ac:dyDescent="0.25">
      <c r="C100" s="21"/>
      <c r="D100" s="19"/>
      <c r="E100" s="19"/>
      <c r="F100" s="19"/>
      <c r="G100" s="19"/>
      <c r="H100" s="19"/>
      <c r="I100" s="19"/>
      <c r="J100" s="19"/>
      <c r="K100" s="19"/>
      <c r="L100" s="20"/>
    </row>
    <row r="101" spans="3:12" x14ac:dyDescent="0.25">
      <c r="C101" s="21"/>
      <c r="D101" s="19"/>
      <c r="E101" s="19"/>
      <c r="F101" s="19"/>
      <c r="G101" s="19"/>
      <c r="H101" s="19"/>
      <c r="I101" s="19"/>
      <c r="J101" s="19"/>
      <c r="K101" s="19"/>
      <c r="L101" s="26" t="s">
        <v>64</v>
      </c>
    </row>
    <row r="102" spans="3:12" x14ac:dyDescent="0.25">
      <c r="C102" s="30"/>
      <c r="D102" s="24"/>
      <c r="E102" s="24"/>
      <c r="F102" s="24"/>
      <c r="G102" s="24"/>
      <c r="H102" s="24"/>
      <c r="I102" s="24"/>
      <c r="J102" s="24"/>
      <c r="K102" s="24"/>
      <c r="L102" s="25"/>
    </row>
  </sheetData>
  <mergeCells count="10">
    <mergeCell ref="C12:D12"/>
    <mergeCell ref="C13:D13"/>
    <mergeCell ref="C14:D14"/>
    <mergeCell ref="C15:D15"/>
    <mergeCell ref="C16:D16"/>
    <mergeCell ref="E30:F30"/>
    <mergeCell ref="C39:D40"/>
    <mergeCell ref="E18:F18"/>
    <mergeCell ref="D25:D26"/>
    <mergeCell ref="D27:D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3ACC-968B-497C-872C-5B3D89B08350}">
  <dimension ref="A5:N11"/>
  <sheetViews>
    <sheetView workbookViewId="0">
      <selection activeCell="D22" sqref="D22"/>
    </sheetView>
  </sheetViews>
  <sheetFormatPr baseColWidth="10" defaultRowHeight="15" x14ac:dyDescent="0.25"/>
  <sheetData>
    <row r="5" spans="1:14" x14ac:dyDescent="0.25">
      <c r="A5" s="10" t="s">
        <v>65</v>
      </c>
      <c r="B5" s="48">
        <v>1</v>
      </c>
      <c r="C5" s="48">
        <v>2</v>
      </c>
      <c r="D5" s="48">
        <v>3</v>
      </c>
      <c r="E5" s="48">
        <v>4</v>
      </c>
      <c r="F5" s="48">
        <v>5</v>
      </c>
    </row>
    <row r="6" spans="1:14" x14ac:dyDescent="0.25">
      <c r="A6" s="10" t="s">
        <v>66</v>
      </c>
      <c r="B6" s="49">
        <v>0.26</v>
      </c>
      <c r="C6" s="49">
        <v>0.32</v>
      </c>
      <c r="D6" s="49">
        <v>0.28000000000000003</v>
      </c>
      <c r="E6" s="49">
        <v>0.37</v>
      </c>
      <c r="F6" s="49">
        <v>0.28999999999999998</v>
      </c>
    </row>
    <row r="7" spans="1:14" x14ac:dyDescent="0.25">
      <c r="A7" s="10" t="s">
        <v>67</v>
      </c>
      <c r="B7" s="50">
        <v>1.26</v>
      </c>
      <c r="C7" s="48">
        <v>1.32</v>
      </c>
      <c r="D7" s="48">
        <v>1.28</v>
      </c>
      <c r="E7" s="48">
        <v>1.37</v>
      </c>
      <c r="F7" s="48">
        <v>1.29</v>
      </c>
    </row>
    <row r="8" spans="1:14" x14ac:dyDescent="0.25">
      <c r="I8" s="27" t="s">
        <v>68</v>
      </c>
      <c r="J8" s="28"/>
      <c r="K8" s="28"/>
      <c r="L8" s="28"/>
      <c r="M8" s="28"/>
      <c r="N8" s="29"/>
    </row>
    <row r="9" spans="1:14" x14ac:dyDescent="0.25">
      <c r="I9" s="21" t="s">
        <v>69</v>
      </c>
      <c r="J9" s="19"/>
      <c r="K9" s="19"/>
      <c r="L9" s="19"/>
      <c r="M9" s="19"/>
      <c r="N9" s="20"/>
    </row>
    <row r="10" spans="1:14" x14ac:dyDescent="0.25">
      <c r="I10" s="30" t="s">
        <v>70</v>
      </c>
      <c r="J10" s="24"/>
      <c r="K10" s="24"/>
      <c r="L10" s="24"/>
      <c r="M10" s="24"/>
      <c r="N10" s="25"/>
    </row>
    <row r="11" spans="1:14" x14ac:dyDescent="0.25">
      <c r="D11" t="s">
        <v>6</v>
      </c>
      <c r="F11">
        <f>(B7*C7*D7*E7*F7)^(1/3)</f>
        <v>1.5553265100560805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829-6A03-4417-922B-D66CA70BF4CD}">
  <dimension ref="B14"/>
  <sheetViews>
    <sheetView workbookViewId="0">
      <selection activeCell="G21" sqref="G21"/>
    </sheetView>
  </sheetViews>
  <sheetFormatPr baseColWidth="10" defaultRowHeight="15" x14ac:dyDescent="0.25"/>
  <sheetData>
    <row r="14" spans="2:2" x14ac:dyDescent="0.25">
      <c r="B14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EEB1-95C9-4900-BE45-81F9A44900E9}">
  <dimension ref="C6:C7"/>
  <sheetViews>
    <sheetView workbookViewId="0">
      <selection activeCell="G21" sqref="G21"/>
    </sheetView>
  </sheetViews>
  <sheetFormatPr baseColWidth="10" defaultRowHeight="15" x14ac:dyDescent="0.25"/>
  <sheetData>
    <row r="6" spans="3:3" x14ac:dyDescent="0.25">
      <c r="C6" t="s">
        <v>71</v>
      </c>
    </row>
    <row r="7" spans="3:3" x14ac:dyDescent="0.25">
      <c r="C7" t="s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C4ED-0BCE-49A2-9325-863E09954D1E}">
  <dimension ref="B7:F20"/>
  <sheetViews>
    <sheetView tabSelected="1" workbookViewId="0">
      <selection activeCell="H16" sqref="H16"/>
    </sheetView>
  </sheetViews>
  <sheetFormatPr baseColWidth="10" defaultRowHeight="15" x14ac:dyDescent="0.25"/>
  <cols>
    <col min="4" max="4" width="15.140625" customWidth="1"/>
    <col min="6" max="6" width="15.42578125" customWidth="1"/>
  </cols>
  <sheetData>
    <row r="7" spans="2:6" x14ac:dyDescent="0.25">
      <c r="B7" s="51">
        <v>1</v>
      </c>
      <c r="D7" t="s">
        <v>2</v>
      </c>
      <c r="E7">
        <v>14</v>
      </c>
    </row>
    <row r="8" spans="2:6" x14ac:dyDescent="0.25">
      <c r="B8" s="51">
        <v>1</v>
      </c>
      <c r="E8" s="53" t="s">
        <v>14</v>
      </c>
      <c r="F8" s="53" t="s">
        <v>16</v>
      </c>
    </row>
    <row r="9" spans="2:6" x14ac:dyDescent="0.25">
      <c r="B9" s="51">
        <v>1</v>
      </c>
      <c r="D9" s="53" t="s">
        <v>9</v>
      </c>
      <c r="E9" s="52">
        <f>(1*E7)/4</f>
        <v>3.5</v>
      </c>
      <c r="F9" s="52">
        <f>(3*E7)/4</f>
        <v>10.5</v>
      </c>
    </row>
    <row r="10" spans="2:6" x14ac:dyDescent="0.25">
      <c r="B10" s="51">
        <v>2</v>
      </c>
      <c r="D10" s="53" t="s">
        <v>10</v>
      </c>
      <c r="E10" s="52">
        <f>(B9+B10)/2</f>
        <v>1.5</v>
      </c>
      <c r="F10" s="52">
        <f>(B16+B17)/2</f>
        <v>9</v>
      </c>
    </row>
    <row r="11" spans="2:6" x14ac:dyDescent="0.25">
      <c r="B11" s="51">
        <v>3</v>
      </c>
    </row>
    <row r="12" spans="2:6" x14ac:dyDescent="0.25">
      <c r="B12" s="51">
        <v>3</v>
      </c>
      <c r="E12" s="54" t="s">
        <v>9</v>
      </c>
      <c r="F12" s="54" t="s">
        <v>10</v>
      </c>
    </row>
    <row r="13" spans="2:6" x14ac:dyDescent="0.25">
      <c r="B13" s="51">
        <v>4</v>
      </c>
      <c r="D13" s="54" t="s">
        <v>73</v>
      </c>
      <c r="E13" s="55">
        <f>(8*E7)/10</f>
        <v>11.2</v>
      </c>
      <c r="F13" s="55">
        <v>19</v>
      </c>
    </row>
    <row r="14" spans="2:6" x14ac:dyDescent="0.25">
      <c r="B14" s="51">
        <v>4</v>
      </c>
    </row>
    <row r="15" spans="2:6" x14ac:dyDescent="0.25">
      <c r="B15" s="51">
        <v>5</v>
      </c>
      <c r="E15" s="56" t="s">
        <v>9</v>
      </c>
      <c r="F15" s="56" t="s">
        <v>74</v>
      </c>
    </row>
    <row r="16" spans="2:6" x14ac:dyDescent="0.25">
      <c r="B16" s="51">
        <v>9</v>
      </c>
      <c r="D16" s="56" t="s">
        <v>75</v>
      </c>
      <c r="E16" s="57">
        <f>(42*E7)/100</f>
        <v>5.88</v>
      </c>
      <c r="F16" s="57">
        <f>(B11+B12)/2</f>
        <v>3</v>
      </c>
    </row>
    <row r="17" spans="2:6" x14ac:dyDescent="0.25">
      <c r="B17" s="51">
        <v>9</v>
      </c>
      <c r="D17" s="56" t="s">
        <v>76</v>
      </c>
      <c r="E17" s="57">
        <f>(E7*50)/100</f>
        <v>7</v>
      </c>
      <c r="F17" s="57">
        <f>B13</f>
        <v>4</v>
      </c>
    </row>
    <row r="18" spans="2:6" x14ac:dyDescent="0.25">
      <c r="B18" s="51">
        <v>19</v>
      </c>
      <c r="D18" s="56" t="s">
        <v>77</v>
      </c>
      <c r="E18" s="57">
        <f>(E7*87)/100</f>
        <v>12.18</v>
      </c>
      <c r="F18" s="57">
        <f>(B18+B19)/2</f>
        <v>19.5</v>
      </c>
    </row>
    <row r="19" spans="2:6" x14ac:dyDescent="0.25">
      <c r="B19" s="51">
        <v>20</v>
      </c>
    </row>
    <row r="20" spans="2:6" x14ac:dyDescent="0.25">
      <c r="B20" s="51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BA2D-C591-4D15-B839-C7F81C05A4F5}">
  <dimension ref="A2:S55"/>
  <sheetViews>
    <sheetView zoomScale="90" zoomScaleNormal="90" workbookViewId="0">
      <selection activeCell="N25" sqref="N25"/>
    </sheetView>
  </sheetViews>
  <sheetFormatPr baseColWidth="10" defaultRowHeight="15" x14ac:dyDescent="0.25"/>
  <cols>
    <col min="1" max="1" width="11.42578125" customWidth="1"/>
    <col min="2" max="2" width="18.7109375" hidden="1" customWidth="1"/>
    <col min="3" max="6" width="11.42578125" customWidth="1"/>
    <col min="9" max="9" width="18" customWidth="1"/>
    <col min="12" max="12" width="19.140625" customWidth="1"/>
  </cols>
  <sheetData>
    <row r="2" spans="1:19" x14ac:dyDescent="0.25">
      <c r="P2" t="s">
        <v>93</v>
      </c>
    </row>
    <row r="8" spans="1:19" x14ac:dyDescent="0.25">
      <c r="A8" t="s">
        <v>88</v>
      </c>
      <c r="B8">
        <v>10</v>
      </c>
      <c r="C8">
        <v>10</v>
      </c>
    </row>
    <row r="9" spans="1:19" x14ac:dyDescent="0.25">
      <c r="A9" t="s">
        <v>39</v>
      </c>
      <c r="B9">
        <f>10.9-10</f>
        <v>0.90000000000000036</v>
      </c>
      <c r="C9">
        <f>10.9-10</f>
        <v>0.90000000000000036</v>
      </c>
    </row>
    <row r="10" spans="1:19" x14ac:dyDescent="0.25">
      <c r="C10" t="s">
        <v>94</v>
      </c>
      <c r="D10" t="s">
        <v>95</v>
      </c>
      <c r="E10" t="s">
        <v>99</v>
      </c>
      <c r="F10" t="s">
        <v>98</v>
      </c>
      <c r="G10" t="s">
        <v>95</v>
      </c>
      <c r="H10" t="s">
        <v>96</v>
      </c>
    </row>
    <row r="11" spans="1:19" ht="28.5" customHeight="1" x14ac:dyDescent="0.25">
      <c r="A11" s="77" t="s">
        <v>40</v>
      </c>
      <c r="B11" s="78"/>
      <c r="C11" s="58" t="s">
        <v>41</v>
      </c>
      <c r="D11" s="13" t="s">
        <v>44</v>
      </c>
      <c r="E11" s="13" t="s">
        <v>44</v>
      </c>
      <c r="F11" s="13" t="s">
        <v>44</v>
      </c>
      <c r="G11" s="13" t="s">
        <v>44</v>
      </c>
      <c r="H11" s="13" t="s">
        <v>44</v>
      </c>
      <c r="I11" s="59" t="s">
        <v>44</v>
      </c>
    </row>
    <row r="12" spans="1:19" x14ac:dyDescent="0.25">
      <c r="A12" s="79"/>
      <c r="B12" s="80"/>
      <c r="C12" s="60" t="s">
        <v>49</v>
      </c>
      <c r="D12" s="14" t="s">
        <v>42</v>
      </c>
      <c r="E12" s="14" t="s">
        <v>43</v>
      </c>
      <c r="F12" s="14" t="s">
        <v>45</v>
      </c>
      <c r="G12" s="14" t="s">
        <v>46</v>
      </c>
      <c r="H12" s="14" t="s">
        <v>47</v>
      </c>
      <c r="I12" s="61" t="s">
        <v>48</v>
      </c>
    </row>
    <row r="13" spans="1:19" x14ac:dyDescent="0.25">
      <c r="A13" s="62" t="s">
        <v>78</v>
      </c>
      <c r="B13" s="62"/>
      <c r="C13" s="63">
        <f>AVERAGE(10,10.9)</f>
        <v>10.45</v>
      </c>
      <c r="D13" s="41">
        <v>1</v>
      </c>
      <c r="E13" s="41">
        <f>D13</f>
        <v>1</v>
      </c>
      <c r="F13" s="41">
        <f>D13/$D$23</f>
        <v>1.5384615384615385E-2</v>
      </c>
      <c r="G13" s="41">
        <f>E13/$D$23</f>
        <v>1.5384615384615385E-2</v>
      </c>
      <c r="H13" s="41">
        <f>F13*100</f>
        <v>1.5384615384615385</v>
      </c>
      <c r="I13" s="41">
        <f>G13*100</f>
        <v>1.5384615384615385</v>
      </c>
    </row>
    <row r="14" spans="1:19" x14ac:dyDescent="0.25">
      <c r="A14" s="41" t="s">
        <v>79</v>
      </c>
      <c r="B14" s="41"/>
      <c r="C14" s="41">
        <f>AVERAGE(11,11.9)</f>
        <v>11.45</v>
      </c>
      <c r="D14" s="41">
        <v>4</v>
      </c>
      <c r="E14" s="41">
        <f>E13+D14</f>
        <v>5</v>
      </c>
      <c r="F14" s="41">
        <f t="shared" ref="F14:F22" si="0">D14/$D$23</f>
        <v>6.1538461538461542E-2</v>
      </c>
      <c r="G14" s="41">
        <f t="shared" ref="G14:G22" si="1">E14/$D$23</f>
        <v>7.6923076923076927E-2</v>
      </c>
      <c r="H14" s="41">
        <f t="shared" ref="H14:H22" si="2">F14*100</f>
        <v>6.1538461538461542</v>
      </c>
      <c r="I14" s="41">
        <f t="shared" ref="I14:I22" si="3">G14*100</f>
        <v>7.6923076923076925</v>
      </c>
    </row>
    <row r="15" spans="1:19" x14ac:dyDescent="0.25">
      <c r="A15" s="41" t="s">
        <v>80</v>
      </c>
      <c r="B15" s="41"/>
      <c r="C15" s="41">
        <f>AVERAGE(12,12.9)</f>
        <v>12.45</v>
      </c>
      <c r="D15" s="41">
        <v>6</v>
      </c>
      <c r="E15" s="41">
        <f>E14+D15</f>
        <v>11</v>
      </c>
      <c r="F15" s="41">
        <f t="shared" si="0"/>
        <v>9.2307692307692313E-2</v>
      </c>
      <c r="G15" s="41">
        <f t="shared" si="1"/>
        <v>0.16923076923076924</v>
      </c>
      <c r="H15" s="41">
        <f t="shared" si="2"/>
        <v>9.2307692307692317</v>
      </c>
      <c r="I15" s="41">
        <f t="shared" si="3"/>
        <v>16.923076923076923</v>
      </c>
    </row>
    <row r="16" spans="1:19" x14ac:dyDescent="0.25">
      <c r="A16" s="41" t="s">
        <v>81</v>
      </c>
      <c r="B16" s="41"/>
      <c r="C16" s="41">
        <f>AVERAGE(13,13.9)</f>
        <v>13.45</v>
      </c>
      <c r="D16" s="41">
        <v>8</v>
      </c>
      <c r="E16" s="41">
        <f t="shared" ref="E15:E22" si="4">E15+D16</f>
        <v>19</v>
      </c>
      <c r="F16" s="41">
        <f t="shared" si="0"/>
        <v>0.12307692307692308</v>
      </c>
      <c r="G16" s="41">
        <f t="shared" si="1"/>
        <v>0.29230769230769232</v>
      </c>
      <c r="H16" s="41">
        <f t="shared" si="2"/>
        <v>12.307692307692308</v>
      </c>
      <c r="I16" s="41">
        <f t="shared" si="3"/>
        <v>29.230769230769234</v>
      </c>
      <c r="L16" s="66" t="s">
        <v>89</v>
      </c>
      <c r="M16" s="66">
        <f>(C13*D13+C14*D14+C15*D15+C16*D16+C17*D17+C18*D18+C19*D19+C20*D20+C21*D21+C22*D22)/D23</f>
        <v>15.157692307692306</v>
      </c>
      <c r="R16" s="103" t="s">
        <v>26</v>
      </c>
      <c r="S16" s="103">
        <f>(3*(M16-M17))/M24</f>
        <v>0.41818245520269004</v>
      </c>
    </row>
    <row r="17" spans="1:19" x14ac:dyDescent="0.25">
      <c r="A17" s="41" t="s">
        <v>82</v>
      </c>
      <c r="B17" s="41"/>
      <c r="C17" s="41">
        <f>AVERAGE(14,14.9)</f>
        <v>14.45</v>
      </c>
      <c r="D17" s="41">
        <v>12</v>
      </c>
      <c r="E17" s="41">
        <f t="shared" si="4"/>
        <v>31</v>
      </c>
      <c r="F17" s="41">
        <f t="shared" si="0"/>
        <v>0.18461538461538463</v>
      </c>
      <c r="G17" s="41">
        <f t="shared" si="1"/>
        <v>0.47692307692307695</v>
      </c>
      <c r="H17" s="41">
        <f t="shared" si="2"/>
        <v>18.461538461538463</v>
      </c>
      <c r="I17" s="41">
        <f t="shared" si="3"/>
        <v>47.692307692307693</v>
      </c>
      <c r="J17" s="81" t="s">
        <v>105</v>
      </c>
      <c r="L17" s="66" t="s">
        <v>3</v>
      </c>
      <c r="M17" s="66">
        <f>14+(((C9*(D23/2)-E16))/D17)</f>
        <v>14.854166666666668</v>
      </c>
      <c r="O17" t="s">
        <v>106</v>
      </c>
      <c r="R17" s="103" t="s">
        <v>29</v>
      </c>
      <c r="S17" s="103"/>
    </row>
    <row r="18" spans="1:19" x14ac:dyDescent="0.25">
      <c r="A18" s="41" t="s">
        <v>83</v>
      </c>
      <c r="B18" s="41"/>
      <c r="C18" s="41">
        <f>AVERAGE(15,15.9)</f>
        <v>15.45</v>
      </c>
      <c r="D18" s="41">
        <v>11</v>
      </c>
      <c r="E18" s="41">
        <f t="shared" si="4"/>
        <v>42</v>
      </c>
      <c r="F18" s="41">
        <f t="shared" si="0"/>
        <v>0.16923076923076924</v>
      </c>
      <c r="G18" s="41">
        <f t="shared" si="1"/>
        <v>0.64615384615384619</v>
      </c>
      <c r="H18" s="41">
        <f t="shared" si="2"/>
        <v>16.923076923076923</v>
      </c>
      <c r="I18" s="41">
        <f t="shared" si="3"/>
        <v>64.615384615384613</v>
      </c>
      <c r="J18" s="34"/>
      <c r="L18" s="66" t="s">
        <v>4</v>
      </c>
      <c r="M18" s="66">
        <f>14+(C9*(N18/(N18+O18)))</f>
        <v>14.72</v>
      </c>
      <c r="N18">
        <f>D17-D16</f>
        <v>4</v>
      </c>
      <c r="O18">
        <f>D17-D18</f>
        <v>1</v>
      </c>
    </row>
    <row r="19" spans="1:19" x14ac:dyDescent="0.25">
      <c r="A19" s="41" t="s">
        <v>84</v>
      </c>
      <c r="B19" s="41"/>
      <c r="C19" s="41">
        <f>AVERAGE(16,16.9)</f>
        <v>16.45</v>
      </c>
      <c r="D19" s="41">
        <v>8</v>
      </c>
      <c r="E19" s="41">
        <f t="shared" si="4"/>
        <v>50</v>
      </c>
      <c r="F19" s="41">
        <f t="shared" si="0"/>
        <v>0.12307692307692308</v>
      </c>
      <c r="G19" s="41">
        <f t="shared" si="1"/>
        <v>0.76923076923076927</v>
      </c>
      <c r="H19" s="41">
        <f t="shared" si="2"/>
        <v>12.307692307692308</v>
      </c>
      <c r="I19" s="41">
        <f t="shared" si="3"/>
        <v>76.923076923076934</v>
      </c>
      <c r="L19" s="66" t="s">
        <v>6</v>
      </c>
      <c r="M19" s="67">
        <f>(19.9/10)^(1/D23)</f>
        <v>1.0106429239981316</v>
      </c>
    </row>
    <row r="20" spans="1:19" x14ac:dyDescent="0.25">
      <c r="A20" s="41" t="s">
        <v>85</v>
      </c>
      <c r="B20" s="41"/>
      <c r="C20" s="41">
        <f>AVERAGE(17,17.9)</f>
        <v>17.45</v>
      </c>
      <c r="D20" s="41">
        <v>7</v>
      </c>
      <c r="E20" s="41">
        <f t="shared" si="4"/>
        <v>57</v>
      </c>
      <c r="F20" s="41">
        <f t="shared" si="0"/>
        <v>0.1076923076923077</v>
      </c>
      <c r="G20" s="41">
        <f t="shared" si="1"/>
        <v>0.87692307692307692</v>
      </c>
      <c r="H20" s="41">
        <f t="shared" si="2"/>
        <v>10.76923076923077</v>
      </c>
      <c r="I20" s="41">
        <f t="shared" si="3"/>
        <v>87.692307692307693</v>
      </c>
      <c r="L20" s="66" t="s">
        <v>100</v>
      </c>
      <c r="M20" s="66">
        <f>(C13*D13+C14*D14+C15*D15+C16*D16+C17*D17+C18*D18+C19*D19+C20*D20+C21*D21+C22*D22)/D23</f>
        <v>15.157692307692306</v>
      </c>
    </row>
    <row r="21" spans="1:19" x14ac:dyDescent="0.25">
      <c r="A21" s="41" t="s">
        <v>86</v>
      </c>
      <c r="B21" s="41"/>
      <c r="C21" s="41">
        <f>AVERAGE(18,18.9)</f>
        <v>18.45</v>
      </c>
      <c r="D21" s="41">
        <v>6</v>
      </c>
      <c r="E21" s="41">
        <f>E20+D21</f>
        <v>63</v>
      </c>
      <c r="F21" s="41">
        <f t="shared" si="0"/>
        <v>9.2307692307692313E-2</v>
      </c>
      <c r="G21" s="41">
        <f t="shared" si="1"/>
        <v>0.96923076923076923</v>
      </c>
      <c r="H21" s="41">
        <f t="shared" si="2"/>
        <v>9.2307692307692317</v>
      </c>
      <c r="I21" s="41">
        <f t="shared" si="3"/>
        <v>96.92307692307692</v>
      </c>
      <c r="L21" s="66" t="s">
        <v>7</v>
      </c>
      <c r="M21" s="66">
        <f>D23/(1/C13+1/C14+1/C15+1/C16+1/C17+1/C18+1/C19+1/C20+1/C21+1/C22)</f>
        <v>93.479299560039735</v>
      </c>
    </row>
    <row r="22" spans="1:19" x14ac:dyDescent="0.25">
      <c r="A22" s="41" t="s">
        <v>87</v>
      </c>
      <c r="B22" s="41"/>
      <c r="C22" s="41">
        <f>AVERAGE(19,19.9)</f>
        <v>19.45</v>
      </c>
      <c r="D22" s="41">
        <v>2</v>
      </c>
      <c r="E22" s="41">
        <f t="shared" si="4"/>
        <v>65</v>
      </c>
      <c r="F22" s="41">
        <f t="shared" si="0"/>
        <v>3.0769230769230771E-2</v>
      </c>
      <c r="G22" s="41">
        <f t="shared" si="1"/>
        <v>1</v>
      </c>
      <c r="H22" s="41">
        <f t="shared" si="2"/>
        <v>3.0769230769230771</v>
      </c>
      <c r="I22" s="41">
        <f t="shared" si="3"/>
        <v>100</v>
      </c>
      <c r="L22" s="66" t="s">
        <v>90</v>
      </c>
      <c r="M22" s="66">
        <f>19.9/10</f>
        <v>1.9899999999999998</v>
      </c>
    </row>
    <row r="23" spans="1:19" x14ac:dyDescent="0.25">
      <c r="D23" s="64">
        <f>SUM(D13:D22)</f>
        <v>65</v>
      </c>
      <c r="F23" s="65">
        <f>SUM(F13:F22)</f>
        <v>1</v>
      </c>
      <c r="L23" s="66" t="s">
        <v>18</v>
      </c>
      <c r="M23" s="66">
        <f>(F38-(D38*(M16)^2))/(D23-1)</f>
        <v>4.7413461538461377</v>
      </c>
    </row>
    <row r="24" spans="1:19" x14ac:dyDescent="0.25">
      <c r="L24" s="66" t="s">
        <v>91</v>
      </c>
      <c r="M24" s="66">
        <f>SQRT(M23)</f>
        <v>2.1774632382307026</v>
      </c>
    </row>
    <row r="25" spans="1:19" x14ac:dyDescent="0.25">
      <c r="C25" t="s">
        <v>101</v>
      </c>
      <c r="L25" s="66" t="s">
        <v>92</v>
      </c>
      <c r="M25" s="66">
        <f>(M24/M16)*100</f>
        <v>14.365400708956679</v>
      </c>
    </row>
    <row r="26" spans="1:19" x14ac:dyDescent="0.25">
      <c r="A26" s="82" t="s">
        <v>40</v>
      </c>
      <c r="B26" s="83"/>
      <c r="C26" s="84" t="s">
        <v>41</v>
      </c>
      <c r="D26" s="85" t="s">
        <v>44</v>
      </c>
      <c r="E26" s="85" t="s">
        <v>103</v>
      </c>
      <c r="F26" s="85" t="s">
        <v>104</v>
      </c>
    </row>
    <row r="27" spans="1:19" x14ac:dyDescent="0.25">
      <c r="A27" s="86"/>
      <c r="B27" s="87"/>
      <c r="C27" s="88" t="s">
        <v>49</v>
      </c>
      <c r="D27" s="89" t="s">
        <v>102</v>
      </c>
      <c r="E27" s="89"/>
      <c r="F27" s="89"/>
      <c r="H27" s="94" t="s">
        <v>40</v>
      </c>
      <c r="I27" s="94" t="s">
        <v>56</v>
      </c>
    </row>
    <row r="28" spans="1:19" x14ac:dyDescent="0.25">
      <c r="A28" s="90" t="s">
        <v>78</v>
      </c>
      <c r="B28" s="90"/>
      <c r="C28" s="91">
        <f>AVERAGE(10,10.9)</f>
        <v>10.45</v>
      </c>
      <c r="D28" s="92">
        <v>1</v>
      </c>
      <c r="E28" s="92">
        <f>C28*D28</f>
        <v>10.45</v>
      </c>
      <c r="F28" s="92">
        <f>D28*(C28^2)</f>
        <v>109.20249999999999</v>
      </c>
      <c r="H28" s="95" t="s">
        <v>78</v>
      </c>
      <c r="I28" s="96">
        <v>1</v>
      </c>
    </row>
    <row r="29" spans="1:19" x14ac:dyDescent="0.25">
      <c r="A29" s="92" t="s">
        <v>79</v>
      </c>
      <c r="B29" s="92"/>
      <c r="C29" s="92">
        <f>AVERAGE(11,11.9)</f>
        <v>11.45</v>
      </c>
      <c r="D29" s="92">
        <v>4</v>
      </c>
      <c r="E29" s="92">
        <f t="shared" ref="E29:E37" si="5">C29*D29</f>
        <v>45.8</v>
      </c>
      <c r="F29" s="92">
        <f>D29*(C29^2)</f>
        <v>524.41</v>
      </c>
      <c r="H29" s="96" t="s">
        <v>79</v>
      </c>
      <c r="I29" s="96">
        <v>4</v>
      </c>
    </row>
    <row r="30" spans="1:19" x14ac:dyDescent="0.25">
      <c r="A30" s="92" t="s">
        <v>80</v>
      </c>
      <c r="B30" s="92"/>
      <c r="C30" s="92">
        <f>AVERAGE(12,12.9)</f>
        <v>12.45</v>
      </c>
      <c r="D30" s="92">
        <v>6</v>
      </c>
      <c r="E30" s="92">
        <f t="shared" si="5"/>
        <v>74.699999999999989</v>
      </c>
      <c r="F30" s="92">
        <f t="shared" ref="F29:F37" si="6">D30*(C30^2)</f>
        <v>930.01499999999987</v>
      </c>
      <c r="H30" s="96" t="s">
        <v>80</v>
      </c>
      <c r="I30" s="96">
        <v>6</v>
      </c>
    </row>
    <row r="31" spans="1:19" x14ac:dyDescent="0.25">
      <c r="A31" s="92" t="s">
        <v>81</v>
      </c>
      <c r="B31" s="92"/>
      <c r="C31" s="92">
        <f>AVERAGE(13,13.9)</f>
        <v>13.45</v>
      </c>
      <c r="D31" s="92">
        <v>8</v>
      </c>
      <c r="E31" s="92">
        <f t="shared" si="5"/>
        <v>107.6</v>
      </c>
      <c r="F31" s="92">
        <f t="shared" si="6"/>
        <v>1447.2199999999998</v>
      </c>
      <c r="H31" s="96" t="s">
        <v>81</v>
      </c>
      <c r="I31" s="96">
        <v>8</v>
      </c>
    </row>
    <row r="32" spans="1:19" x14ac:dyDescent="0.25">
      <c r="A32" s="92" t="s">
        <v>82</v>
      </c>
      <c r="B32" s="92"/>
      <c r="C32" s="92">
        <f>AVERAGE(14,14.9)</f>
        <v>14.45</v>
      </c>
      <c r="D32" s="92">
        <v>12</v>
      </c>
      <c r="E32" s="92">
        <f t="shared" si="5"/>
        <v>173.39999999999998</v>
      </c>
      <c r="F32" s="92">
        <f t="shared" si="6"/>
        <v>2505.6299999999997</v>
      </c>
      <c r="H32" s="96" t="s">
        <v>82</v>
      </c>
      <c r="I32" s="96">
        <v>12</v>
      </c>
    </row>
    <row r="33" spans="1:18" x14ac:dyDescent="0.25">
      <c r="A33" s="92" t="s">
        <v>83</v>
      </c>
      <c r="B33" s="92"/>
      <c r="C33" s="92">
        <f>AVERAGE(15,15.9)</f>
        <v>15.45</v>
      </c>
      <c r="D33" s="92">
        <v>11</v>
      </c>
      <c r="E33" s="92">
        <f t="shared" si="5"/>
        <v>169.95</v>
      </c>
      <c r="F33" s="92">
        <f t="shared" si="6"/>
        <v>2625.7275</v>
      </c>
      <c r="H33" s="96" t="s">
        <v>83</v>
      </c>
      <c r="I33" s="96">
        <v>11</v>
      </c>
    </row>
    <row r="34" spans="1:18" x14ac:dyDescent="0.25">
      <c r="A34" s="92" t="s">
        <v>84</v>
      </c>
      <c r="B34" s="92"/>
      <c r="C34" s="92">
        <f>AVERAGE(16,16.9)</f>
        <v>16.45</v>
      </c>
      <c r="D34" s="92">
        <v>8</v>
      </c>
      <c r="E34" s="92">
        <f t="shared" si="5"/>
        <v>131.6</v>
      </c>
      <c r="F34" s="92">
        <f t="shared" si="6"/>
        <v>2164.8199999999997</v>
      </c>
      <c r="H34" s="96" t="s">
        <v>84</v>
      </c>
      <c r="I34" s="96">
        <v>8</v>
      </c>
    </row>
    <row r="35" spans="1:18" x14ac:dyDescent="0.25">
      <c r="A35" s="92" t="s">
        <v>85</v>
      </c>
      <c r="B35" s="92"/>
      <c r="C35" s="92">
        <f>AVERAGE(17,17.9)</f>
        <v>17.45</v>
      </c>
      <c r="D35" s="92">
        <v>7</v>
      </c>
      <c r="E35" s="92">
        <f t="shared" si="5"/>
        <v>122.14999999999999</v>
      </c>
      <c r="F35" s="92">
        <f t="shared" si="6"/>
        <v>2131.5174999999999</v>
      </c>
      <c r="H35" s="96" t="s">
        <v>85</v>
      </c>
      <c r="I35" s="96">
        <v>7</v>
      </c>
    </row>
    <row r="36" spans="1:18" x14ac:dyDescent="0.25">
      <c r="A36" s="92" t="s">
        <v>86</v>
      </c>
      <c r="B36" s="92"/>
      <c r="C36" s="92">
        <f>AVERAGE(18,18.9)</f>
        <v>18.45</v>
      </c>
      <c r="D36" s="92">
        <v>6</v>
      </c>
      <c r="E36" s="92">
        <f t="shared" si="5"/>
        <v>110.69999999999999</v>
      </c>
      <c r="F36" s="92">
        <f t="shared" si="6"/>
        <v>2042.415</v>
      </c>
      <c r="H36" s="96" t="s">
        <v>86</v>
      </c>
      <c r="I36" s="96">
        <v>6</v>
      </c>
    </row>
    <row r="37" spans="1:18" x14ac:dyDescent="0.25">
      <c r="A37" s="92" t="s">
        <v>87</v>
      </c>
      <c r="B37" s="92"/>
      <c r="C37" s="92">
        <f>AVERAGE(19,19.9)</f>
        <v>19.45</v>
      </c>
      <c r="D37" s="92">
        <v>2</v>
      </c>
      <c r="E37" s="92">
        <f t="shared" si="5"/>
        <v>38.9</v>
      </c>
      <c r="F37" s="92">
        <f t="shared" si="6"/>
        <v>756.6049999999999</v>
      </c>
      <c r="H37" s="96" t="s">
        <v>87</v>
      </c>
      <c r="I37" s="96">
        <v>2</v>
      </c>
    </row>
    <row r="38" spans="1:18" x14ac:dyDescent="0.25">
      <c r="D38" s="93">
        <f>SUM(D28:D37)</f>
        <v>65</v>
      </c>
      <c r="F38" s="93">
        <f>SUM(F28:F37)</f>
        <v>15237.562499999996</v>
      </c>
    </row>
    <row r="42" spans="1:18" x14ac:dyDescent="0.25">
      <c r="H42" s="34"/>
      <c r="I42" s="34"/>
    </row>
    <row r="43" spans="1:18" x14ac:dyDescent="0.25">
      <c r="H43" s="34"/>
      <c r="I43" s="34"/>
    </row>
    <row r="44" spans="1:18" x14ac:dyDescent="0.25">
      <c r="H44" s="97" t="s">
        <v>41</v>
      </c>
      <c r="I44" s="98" t="s">
        <v>44</v>
      </c>
      <c r="Q44" s="97"/>
      <c r="R44" s="98" t="s">
        <v>60</v>
      </c>
    </row>
    <row r="45" spans="1:18" x14ac:dyDescent="0.25">
      <c r="H45" s="99" t="s">
        <v>49</v>
      </c>
      <c r="I45" s="100" t="s">
        <v>107</v>
      </c>
      <c r="Q45" s="94" t="s">
        <v>40</v>
      </c>
      <c r="R45" s="100"/>
    </row>
    <row r="46" spans="1:18" x14ac:dyDescent="0.25">
      <c r="H46" s="101">
        <f>AVERAGE(10,10.9)</f>
        <v>10.45</v>
      </c>
      <c r="I46" s="102">
        <v>1</v>
      </c>
      <c r="Q46" s="95" t="s">
        <v>78</v>
      </c>
      <c r="R46" s="102">
        <f>F13*100</f>
        <v>1.5384615384615385</v>
      </c>
    </row>
    <row r="47" spans="1:18" x14ac:dyDescent="0.25">
      <c r="H47" s="102">
        <f>AVERAGE(11,11.9)</f>
        <v>11.45</v>
      </c>
      <c r="I47" s="102">
        <v>5</v>
      </c>
      <c r="Q47" s="96" t="s">
        <v>79</v>
      </c>
      <c r="R47" s="102">
        <f t="shared" ref="R47:R55" si="7">F14*100</f>
        <v>6.1538461538461542</v>
      </c>
    </row>
    <row r="48" spans="1:18" x14ac:dyDescent="0.25">
      <c r="H48" s="102">
        <f>AVERAGE(12,12.9)</f>
        <v>12.45</v>
      </c>
      <c r="I48" s="102">
        <v>11</v>
      </c>
      <c r="Q48" s="96" t="s">
        <v>80</v>
      </c>
      <c r="R48" s="102">
        <f t="shared" si="7"/>
        <v>9.2307692307692317</v>
      </c>
    </row>
    <row r="49" spans="8:18" x14ac:dyDescent="0.25">
      <c r="H49" s="102">
        <f>AVERAGE(13,13.9)</f>
        <v>13.45</v>
      </c>
      <c r="I49" s="102">
        <v>19</v>
      </c>
      <c r="Q49" s="96" t="s">
        <v>81</v>
      </c>
      <c r="R49" s="102">
        <f t="shared" si="7"/>
        <v>12.307692307692308</v>
      </c>
    </row>
    <row r="50" spans="8:18" x14ac:dyDescent="0.25">
      <c r="H50" s="102">
        <f>AVERAGE(14,14.9)</f>
        <v>14.45</v>
      </c>
      <c r="I50" s="102">
        <v>31</v>
      </c>
      <c r="Q50" s="96" t="s">
        <v>82</v>
      </c>
      <c r="R50" s="102">
        <f t="shared" si="7"/>
        <v>18.461538461538463</v>
      </c>
    </row>
    <row r="51" spans="8:18" x14ac:dyDescent="0.25">
      <c r="H51" s="102">
        <f>AVERAGE(15,15.9)</f>
        <v>15.45</v>
      </c>
      <c r="I51" s="102">
        <v>42</v>
      </c>
      <c r="Q51" s="96" t="s">
        <v>83</v>
      </c>
      <c r="R51" s="102">
        <f t="shared" si="7"/>
        <v>16.923076923076923</v>
      </c>
    </row>
    <row r="52" spans="8:18" x14ac:dyDescent="0.25">
      <c r="H52" s="102">
        <f>AVERAGE(16,16.9)</f>
        <v>16.45</v>
      </c>
      <c r="I52" s="102">
        <v>50</v>
      </c>
      <c r="Q52" s="96" t="s">
        <v>84</v>
      </c>
      <c r="R52" s="102">
        <f t="shared" si="7"/>
        <v>12.307692307692308</v>
      </c>
    </row>
    <row r="53" spans="8:18" x14ac:dyDescent="0.25">
      <c r="H53" s="102">
        <f>AVERAGE(17,17.9)</f>
        <v>17.45</v>
      </c>
      <c r="I53" s="102">
        <v>57</v>
      </c>
      <c r="Q53" s="96" t="s">
        <v>85</v>
      </c>
      <c r="R53" s="102">
        <f t="shared" si="7"/>
        <v>10.76923076923077</v>
      </c>
    </row>
    <row r="54" spans="8:18" x14ac:dyDescent="0.25">
      <c r="H54" s="102">
        <f>AVERAGE(18,18.9)</f>
        <v>18.45</v>
      </c>
      <c r="I54" s="102">
        <v>63</v>
      </c>
      <c r="Q54" s="96" t="s">
        <v>86</v>
      </c>
      <c r="R54" s="102">
        <f t="shared" si="7"/>
        <v>9.2307692307692317</v>
      </c>
    </row>
    <row r="55" spans="8:18" x14ac:dyDescent="0.25">
      <c r="H55" s="103">
        <f>AVERAGE(19,19.9)</f>
        <v>19.45</v>
      </c>
      <c r="I55" s="103">
        <v>65</v>
      </c>
      <c r="Q55" s="96" t="s">
        <v>87</v>
      </c>
      <c r="R55" s="102">
        <f t="shared" si="7"/>
        <v>3.0769230769230771</v>
      </c>
    </row>
  </sheetData>
  <mergeCells count="2">
    <mergeCell ref="A11:B12"/>
    <mergeCell ref="A26:B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Problema_1</vt:lpstr>
      <vt:lpstr>Problema_2</vt:lpstr>
      <vt:lpstr>Problema_3</vt:lpstr>
      <vt:lpstr>Problema_4</vt:lpstr>
      <vt:lpstr>Problema_5</vt:lpstr>
      <vt:lpstr>Problema_6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2021-02-15T03:33:11Z</dcterms:created>
  <dcterms:modified xsi:type="dcterms:W3CDTF">2021-02-17T19:01:49Z</dcterms:modified>
</cp:coreProperties>
</file>